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Teisės aktai\Tarybos sprendimai\2021-02-25\"/>
    </mc:Choice>
  </mc:AlternateContent>
  <bookViews>
    <workbookView xWindow="0" yWindow="0" windowWidth="28800" windowHeight="12435"/>
  </bookViews>
  <sheets>
    <sheet name="2021" sheetId="3" r:id="rId1"/>
  </sheets>
  <definedNames>
    <definedName name="_xlnm.Print_Titles" localSheetId="0">'2021'!$9:$11</definedName>
  </definedNames>
  <calcPr calcId="152511"/>
</workbook>
</file>

<file path=xl/calcChain.xml><?xml version="1.0" encoding="utf-8"?>
<calcChain xmlns="http://schemas.openxmlformats.org/spreadsheetml/2006/main">
  <c r="I38" i="3" l="1"/>
  <c r="I32" i="3"/>
  <c r="K320" i="3"/>
  <c r="I33" i="3"/>
  <c r="J334" i="3"/>
  <c r="I50" i="3"/>
  <c r="J33" i="3"/>
  <c r="J80" i="3"/>
  <c r="J331" i="3" s="1"/>
  <c r="I80" i="3"/>
  <c r="I34" i="3"/>
  <c r="J39" i="3"/>
  <c r="I39" i="3"/>
  <c r="I292" i="3"/>
  <c r="I64" i="3"/>
  <c r="I334" i="3" s="1"/>
  <c r="I72" i="3"/>
  <c r="I17" i="3"/>
  <c r="I332" i="3" s="1"/>
  <c r="J82" i="3"/>
  <c r="I82" i="3"/>
  <c r="I300" i="3"/>
  <c r="I30" i="3"/>
  <c r="I28" i="3"/>
  <c r="I329" i="3"/>
  <c r="I14" i="3"/>
  <c r="K22" i="3"/>
  <c r="K19" i="3"/>
  <c r="J32" i="3"/>
  <c r="I19" i="3"/>
  <c r="I48" i="3"/>
  <c r="J79" i="3"/>
  <c r="I79" i="3"/>
  <c r="J22" i="3"/>
  <c r="I22" i="3"/>
  <c r="K329" i="3"/>
  <c r="K311" i="3"/>
  <c r="J311" i="3"/>
  <c r="I311" i="3"/>
  <c r="H311" i="3" s="1"/>
  <c r="H313" i="3"/>
  <c r="H312" i="3"/>
  <c r="D312" i="3"/>
  <c r="J38" i="3"/>
  <c r="J297" i="3"/>
  <c r="J329" i="3" s="1"/>
  <c r="I297" i="3"/>
  <c r="I61" i="3"/>
  <c r="D75" i="3"/>
  <c r="H75" i="3"/>
  <c r="I27" i="3"/>
  <c r="I23" i="3"/>
  <c r="K23" i="3"/>
  <c r="J27" i="3"/>
  <c r="K27" i="3"/>
  <c r="K38" i="3"/>
  <c r="I86" i="3"/>
  <c r="D45" i="3"/>
  <c r="H45" i="3"/>
  <c r="K337" i="3"/>
  <c r="J337" i="3"/>
  <c r="K334" i="3"/>
  <c r="K332" i="3"/>
  <c r="J332" i="3"/>
  <c r="K331" i="3"/>
  <c r="I331" i="3" l="1"/>
  <c r="H323" i="3"/>
  <c r="J338" i="3" l="1"/>
  <c r="K338" i="3"/>
  <c r="I338" i="3"/>
  <c r="H167" i="3"/>
  <c r="H34" i="3"/>
  <c r="H154" i="3" l="1"/>
  <c r="H98" i="3" l="1"/>
  <c r="I13" i="3" l="1"/>
  <c r="J13" i="3"/>
  <c r="J335" i="3" l="1"/>
  <c r="K335" i="3"/>
  <c r="I335" i="3"/>
  <c r="J320" i="3" l="1"/>
  <c r="I320" i="3"/>
  <c r="H122" i="3"/>
  <c r="I195" i="3" l="1"/>
  <c r="H111" i="3" l="1"/>
  <c r="J105" i="3"/>
  <c r="K105" i="3"/>
  <c r="K103" i="3" s="1"/>
  <c r="I105" i="3"/>
  <c r="I103" i="3" l="1"/>
  <c r="I251" i="3" l="1"/>
  <c r="I239" i="3"/>
  <c r="H239" i="3" s="1"/>
  <c r="H240" i="3"/>
  <c r="H109" i="3"/>
  <c r="I84" i="3" l="1"/>
  <c r="K84" i="3"/>
  <c r="D87" i="3"/>
  <c r="H87" i="3"/>
  <c r="H218" i="3" l="1"/>
  <c r="I330" i="3" l="1"/>
  <c r="I24" i="3"/>
  <c r="I337" i="3" s="1"/>
  <c r="H16" i="3" l="1"/>
  <c r="I339" i="3"/>
  <c r="K339" i="3" l="1"/>
  <c r="L338" i="3" l="1"/>
  <c r="J336" i="3"/>
  <c r="K336" i="3"/>
  <c r="I336" i="3"/>
  <c r="H41" i="3"/>
  <c r="H22" i="3"/>
  <c r="H23" i="3"/>
  <c r="J333" i="3"/>
  <c r="H336" i="3" l="1"/>
  <c r="J78" i="3" l="1"/>
  <c r="L328" i="3" l="1"/>
  <c r="J296" i="3" l="1"/>
  <c r="K296" i="3"/>
  <c r="I296" i="3"/>
  <c r="J305" i="3"/>
  <c r="J303" i="3" s="1"/>
  <c r="K305" i="3"/>
  <c r="K303" i="3" s="1"/>
  <c r="H309" i="3"/>
  <c r="H152" i="3"/>
  <c r="H131" i="3"/>
  <c r="H120" i="3"/>
  <c r="J211" i="3"/>
  <c r="J210" i="3" s="1"/>
  <c r="H215" i="3"/>
  <c r="H55" i="3"/>
  <c r="H81" i="3"/>
  <c r="H40" i="3"/>
  <c r="H49" i="3"/>
  <c r="I78" i="3"/>
  <c r="J233" i="3"/>
  <c r="K233" i="3"/>
  <c r="I233" i="3"/>
  <c r="I231" i="3" s="1"/>
  <c r="L260" i="3"/>
  <c r="H237" i="3"/>
  <c r="K211" i="3"/>
  <c r="K210" i="3" s="1"/>
  <c r="I211" i="3"/>
  <c r="I210" i="3" s="1"/>
  <c r="H64" i="3"/>
  <c r="K68" i="3"/>
  <c r="K67" i="3" s="1"/>
  <c r="I68" i="3"/>
  <c r="I67" i="3" s="1"/>
  <c r="J288" i="3"/>
  <c r="I288" i="3"/>
  <c r="H292" i="3"/>
  <c r="H72" i="3"/>
  <c r="H296" i="3" l="1"/>
  <c r="J68" i="3"/>
  <c r="J67" i="3" s="1"/>
  <c r="H326" i="3" l="1"/>
  <c r="H214" i="3" l="1"/>
  <c r="I305" i="3"/>
  <c r="I303" i="3" s="1"/>
  <c r="H291" i="3"/>
  <c r="H71" i="3"/>
  <c r="H63" i="3"/>
  <c r="H327" i="3" l="1"/>
  <c r="H15" i="3" l="1"/>
  <c r="H29" i="3" l="1"/>
  <c r="J330" i="3"/>
  <c r="H24" i="3"/>
  <c r="K18" i="3" l="1"/>
  <c r="K342" i="3" s="1"/>
  <c r="J26" i="3"/>
  <c r="J343" i="3" s="1"/>
  <c r="I60" i="3"/>
  <c r="I221" i="3"/>
  <c r="H43" i="3"/>
  <c r="H331" i="3"/>
  <c r="I267" i="3"/>
  <c r="K330" i="3"/>
  <c r="D140" i="3"/>
  <c r="H140" i="3"/>
  <c r="I127" i="3"/>
  <c r="D96" i="3"/>
  <c r="H96" i="3"/>
  <c r="D59" i="3"/>
  <c r="H59" i="3"/>
  <c r="H297" i="3"/>
  <c r="H298" i="3"/>
  <c r="H300" i="3"/>
  <c r="I279" i="3"/>
  <c r="K279" i="3"/>
  <c r="K277" i="3" s="1"/>
  <c r="K267" i="3"/>
  <c r="I257" i="3"/>
  <c r="I255" i="3" s="1"/>
  <c r="K257" i="3"/>
  <c r="I245" i="3"/>
  <c r="I243" i="3" s="1"/>
  <c r="K245" i="3"/>
  <c r="H233" i="3"/>
  <c r="K221" i="3"/>
  <c r="H211" i="3"/>
  <c r="I200" i="3"/>
  <c r="I198" i="3" s="1"/>
  <c r="K200" i="3"/>
  <c r="I189" i="3"/>
  <c r="I187" i="3" s="1"/>
  <c r="K189" i="3"/>
  <c r="K187" i="3" s="1"/>
  <c r="I176" i="3"/>
  <c r="K176" i="3"/>
  <c r="I162" i="3"/>
  <c r="I160" i="3" s="1"/>
  <c r="K162" i="3"/>
  <c r="I148" i="3"/>
  <c r="K148" i="3"/>
  <c r="I138" i="3"/>
  <c r="I136" i="3" s="1"/>
  <c r="K138" i="3"/>
  <c r="K127" i="3"/>
  <c r="K125" i="3" s="1"/>
  <c r="I116" i="3"/>
  <c r="I114" i="3" s="1"/>
  <c r="K116" i="3"/>
  <c r="K114" i="3" s="1"/>
  <c r="I91" i="3"/>
  <c r="I89" i="3" s="1"/>
  <c r="K91" i="3"/>
  <c r="K89" i="3" s="1"/>
  <c r="K60" i="3"/>
  <c r="K58" i="3" s="1"/>
  <c r="K13" i="3"/>
  <c r="G211" i="3"/>
  <c r="F212" i="3"/>
  <c r="F211" i="3" s="1"/>
  <c r="E212" i="3"/>
  <c r="E211" i="3" s="1"/>
  <c r="D216" i="3"/>
  <c r="K295" i="3"/>
  <c r="G296" i="3"/>
  <c r="F296" i="3"/>
  <c r="E296" i="3"/>
  <c r="D297" i="3"/>
  <c r="D298" i="3"/>
  <c r="D300" i="3"/>
  <c r="H93" i="3"/>
  <c r="H107" i="3"/>
  <c r="F38" i="3"/>
  <c r="F37" i="3" s="1"/>
  <c r="E38" i="3"/>
  <c r="E37" i="3" s="1"/>
  <c r="F289" i="3"/>
  <c r="F288" i="3" s="1"/>
  <c r="F286" i="3" s="1"/>
  <c r="E289" i="3"/>
  <c r="D289" i="3" s="1"/>
  <c r="F280" i="3"/>
  <c r="F279" i="3" s="1"/>
  <c r="F277" i="3" s="1"/>
  <c r="E280" i="3"/>
  <c r="E279" i="3" s="1"/>
  <c r="F69" i="3"/>
  <c r="F68" i="3" s="1"/>
  <c r="F67" i="3" s="1"/>
  <c r="E69" i="3"/>
  <c r="D69" i="3" s="1"/>
  <c r="G333" i="3"/>
  <c r="F61" i="3"/>
  <c r="F60" i="3" s="1"/>
  <c r="E61" i="3"/>
  <c r="E60" i="3" s="1"/>
  <c r="G84" i="3"/>
  <c r="G37" i="3"/>
  <c r="G52" i="3"/>
  <c r="G51" i="3" s="1"/>
  <c r="F52" i="3"/>
  <c r="F51" i="3" s="1"/>
  <c r="E84" i="3"/>
  <c r="E52" i="3"/>
  <c r="E51" i="3" s="1"/>
  <c r="D324" i="3"/>
  <c r="D317" i="3"/>
  <c r="D314" i="3"/>
  <c r="D294" i="3"/>
  <c r="D285" i="3"/>
  <c r="D276" i="3"/>
  <c r="D264" i="3"/>
  <c r="D254" i="3"/>
  <c r="D242" i="3"/>
  <c r="D230" i="3"/>
  <c r="D209" i="3"/>
  <c r="D197" i="3"/>
  <c r="D185" i="3"/>
  <c r="D173" i="3"/>
  <c r="D159" i="3"/>
  <c r="D145" i="3"/>
  <c r="D135" i="3"/>
  <c r="D124" i="3"/>
  <c r="D102" i="3"/>
  <c r="D302" i="3"/>
  <c r="D66" i="3"/>
  <c r="D74" i="3"/>
  <c r="D83" i="3"/>
  <c r="G320" i="3"/>
  <c r="G273" i="3"/>
  <c r="G263" i="3"/>
  <c r="G251" i="3"/>
  <c r="G227" i="3"/>
  <c r="G206" i="3"/>
  <c r="G195" i="3"/>
  <c r="G182" i="3"/>
  <c r="G169" i="3"/>
  <c r="G155" i="3"/>
  <c r="G144" i="3"/>
  <c r="G31" i="3"/>
  <c r="F320" i="3"/>
  <c r="F318" i="3" s="1"/>
  <c r="F273" i="3"/>
  <c r="F263" i="3"/>
  <c r="F251" i="3"/>
  <c r="F227" i="3"/>
  <c r="F206" i="3"/>
  <c r="F195" i="3"/>
  <c r="F182" i="3"/>
  <c r="F169" i="3"/>
  <c r="F155" i="3"/>
  <c r="F144" i="3"/>
  <c r="F31" i="3"/>
  <c r="F47" i="3"/>
  <c r="F46" i="3" s="1"/>
  <c r="F78" i="3"/>
  <c r="F76" i="3" s="1"/>
  <c r="E320" i="3"/>
  <c r="E273" i="3"/>
  <c r="E263" i="3"/>
  <c r="E251" i="3"/>
  <c r="E227" i="3"/>
  <c r="D227" i="3" s="1"/>
  <c r="E206" i="3"/>
  <c r="E195" i="3"/>
  <c r="E182" i="3"/>
  <c r="E169" i="3"/>
  <c r="E155" i="3"/>
  <c r="E144" i="3"/>
  <c r="E31" i="3"/>
  <c r="E47" i="3"/>
  <c r="E46" i="3" s="1"/>
  <c r="E78" i="3"/>
  <c r="E77" i="3" s="1"/>
  <c r="D284" i="3"/>
  <c r="D241" i="3"/>
  <c r="D134" i="3"/>
  <c r="D123" i="3"/>
  <c r="D112" i="3"/>
  <c r="D100" i="3"/>
  <c r="D301" i="3"/>
  <c r="G26" i="3"/>
  <c r="G343" i="3" s="1"/>
  <c r="F26" i="3"/>
  <c r="F343" i="3" s="1"/>
  <c r="E26" i="3"/>
  <c r="E343" i="3" s="1"/>
  <c r="G18" i="3"/>
  <c r="G342" i="3" s="1"/>
  <c r="F18" i="3"/>
  <c r="F342" i="3" s="1"/>
  <c r="E18" i="3"/>
  <c r="E342" i="3" s="1"/>
  <c r="D217" i="3"/>
  <c r="G305" i="3"/>
  <c r="G303" i="3" s="1"/>
  <c r="G295" i="3"/>
  <c r="G288" i="3"/>
  <c r="G286" i="3" s="1"/>
  <c r="G279" i="3"/>
  <c r="G277" i="3" s="1"/>
  <c r="G267" i="3"/>
  <c r="G257" i="3"/>
  <c r="G245" i="3"/>
  <c r="G233" i="3"/>
  <c r="G231" i="3" s="1"/>
  <c r="G221" i="3"/>
  <c r="G210" i="3"/>
  <c r="G339" i="3" s="1"/>
  <c r="G200" i="3"/>
  <c r="G189" i="3"/>
  <c r="G176" i="3"/>
  <c r="G162" i="3"/>
  <c r="G148" i="3"/>
  <c r="G138" i="3"/>
  <c r="G127" i="3"/>
  <c r="G125" i="3" s="1"/>
  <c r="G116" i="3"/>
  <c r="G114" i="3" s="1"/>
  <c r="G105" i="3"/>
  <c r="G103" i="3" s="1"/>
  <c r="G91" i="3"/>
  <c r="G89" i="3" s="1"/>
  <c r="G60" i="3"/>
  <c r="G58" i="3" s="1"/>
  <c r="F305" i="3"/>
  <c r="F303" i="3" s="1"/>
  <c r="F295" i="3"/>
  <c r="F267" i="3"/>
  <c r="F257" i="3"/>
  <c r="F245" i="3"/>
  <c r="F233" i="3"/>
  <c r="F231" i="3" s="1"/>
  <c r="F221" i="3"/>
  <c r="F200" i="3"/>
  <c r="F189" i="3"/>
  <c r="F176" i="3"/>
  <c r="F162" i="3"/>
  <c r="F148" i="3"/>
  <c r="F138" i="3"/>
  <c r="F127" i="3"/>
  <c r="F125" i="3" s="1"/>
  <c r="F116" i="3"/>
  <c r="F114" i="3" s="1"/>
  <c r="F105" i="3"/>
  <c r="F103" i="3" s="1"/>
  <c r="F91" i="3"/>
  <c r="F89" i="3" s="1"/>
  <c r="F13" i="3"/>
  <c r="E305" i="3"/>
  <c r="E303" i="3" s="1"/>
  <c r="E295" i="3"/>
  <c r="E267" i="3"/>
  <c r="E257" i="3"/>
  <c r="E245" i="3"/>
  <c r="E233" i="3"/>
  <c r="E231" i="3" s="1"/>
  <c r="E221" i="3"/>
  <c r="E200" i="3"/>
  <c r="E189" i="3"/>
  <c r="E176" i="3"/>
  <c r="E162" i="3"/>
  <c r="E148" i="3"/>
  <c r="E138" i="3"/>
  <c r="E127" i="3"/>
  <c r="E125" i="3" s="1"/>
  <c r="E116" i="3"/>
  <c r="E105" i="3"/>
  <c r="E103" i="3" s="1"/>
  <c r="E91" i="3"/>
  <c r="E89" i="3" s="1"/>
  <c r="E13" i="3"/>
  <c r="G340" i="3"/>
  <c r="F340" i="3"/>
  <c r="E340" i="3"/>
  <c r="F339" i="3"/>
  <c r="E339" i="3"/>
  <c r="G338" i="3"/>
  <c r="F338" i="3"/>
  <c r="E338" i="3"/>
  <c r="G337" i="3"/>
  <c r="F337" i="3"/>
  <c r="E337" i="3"/>
  <c r="G336" i="3"/>
  <c r="D336" i="3" s="1"/>
  <c r="F336" i="3"/>
  <c r="G335" i="3"/>
  <c r="F335" i="3"/>
  <c r="E335" i="3"/>
  <c r="G334" i="3"/>
  <c r="F334" i="3"/>
  <c r="E334" i="3"/>
  <c r="F333" i="3"/>
  <c r="E333" i="3"/>
  <c r="G332" i="3"/>
  <c r="F332" i="3"/>
  <c r="E332" i="3"/>
  <c r="G331" i="3"/>
  <c r="F331" i="3"/>
  <c r="E331" i="3"/>
  <c r="G330" i="3"/>
  <c r="F330" i="3"/>
  <c r="E330" i="3"/>
  <c r="G329" i="3"/>
  <c r="G318" i="3"/>
  <c r="G315" i="3"/>
  <c r="F315" i="3"/>
  <c r="E315" i="3"/>
  <c r="D323" i="3"/>
  <c r="D322" i="3"/>
  <c r="D321" i="3"/>
  <c r="D310" i="3"/>
  <c r="D308" i="3"/>
  <c r="D307" i="3"/>
  <c r="D306" i="3"/>
  <c r="D299" i="3"/>
  <c r="D293" i="3"/>
  <c r="D290" i="3"/>
  <c r="D283" i="3"/>
  <c r="D282" i="3"/>
  <c r="D281" i="3"/>
  <c r="D275" i="3"/>
  <c r="D274" i="3"/>
  <c r="D272" i="3"/>
  <c r="D271" i="3"/>
  <c r="D270" i="3"/>
  <c r="D269" i="3"/>
  <c r="D268" i="3"/>
  <c r="D262" i="3"/>
  <c r="D261" i="3"/>
  <c r="D260" i="3"/>
  <c r="D259" i="3"/>
  <c r="D258" i="3"/>
  <c r="D253" i="3"/>
  <c r="D252" i="3"/>
  <c r="D250" i="3"/>
  <c r="D249" i="3"/>
  <c r="D248" i="3"/>
  <c r="D247" i="3"/>
  <c r="D246" i="3"/>
  <c r="D238" i="3"/>
  <c r="D236" i="3"/>
  <c r="D235" i="3"/>
  <c r="D234" i="3"/>
  <c r="D229" i="3"/>
  <c r="D228" i="3"/>
  <c r="D226" i="3"/>
  <c r="D225" i="3"/>
  <c r="D224" i="3"/>
  <c r="D223" i="3"/>
  <c r="D222" i="3"/>
  <c r="D213" i="3"/>
  <c r="D208" i="3"/>
  <c r="D207" i="3"/>
  <c r="D205" i="3"/>
  <c r="D204" i="3"/>
  <c r="D203" i="3"/>
  <c r="D202" i="3"/>
  <c r="D201" i="3"/>
  <c r="D196" i="3"/>
  <c r="D194" i="3"/>
  <c r="D193" i="3"/>
  <c r="D192" i="3"/>
  <c r="D191" i="3"/>
  <c r="D190" i="3"/>
  <c r="D184" i="3"/>
  <c r="D183" i="3"/>
  <c r="D181" i="3"/>
  <c r="D180" i="3"/>
  <c r="D179" i="3"/>
  <c r="D178" i="3"/>
  <c r="D177" i="3"/>
  <c r="D172" i="3"/>
  <c r="D171" i="3"/>
  <c r="D170" i="3"/>
  <c r="D168" i="3"/>
  <c r="D166" i="3"/>
  <c r="D165" i="3"/>
  <c r="D164" i="3"/>
  <c r="D163" i="3"/>
  <c r="D158" i="3"/>
  <c r="D157" i="3"/>
  <c r="D156" i="3"/>
  <c r="D153" i="3"/>
  <c r="D152" i="3"/>
  <c r="D151" i="3"/>
  <c r="D150" i="3"/>
  <c r="D149" i="3"/>
  <c r="D143" i="3"/>
  <c r="D142" i="3"/>
  <c r="D141" i="3"/>
  <c r="D139" i="3"/>
  <c r="D133" i="3"/>
  <c r="D132" i="3"/>
  <c r="D130" i="3"/>
  <c r="D129" i="3"/>
  <c r="D128" i="3"/>
  <c r="D121" i="3"/>
  <c r="D119" i="3"/>
  <c r="D118" i="3"/>
  <c r="D117" i="3"/>
  <c r="D110" i="3"/>
  <c r="D108" i="3"/>
  <c r="D107" i="3"/>
  <c r="D106" i="3"/>
  <c r="G104" i="3"/>
  <c r="F104" i="3"/>
  <c r="E104" i="3"/>
  <c r="D97" i="3"/>
  <c r="D95" i="3"/>
  <c r="D94" i="3"/>
  <c r="D93" i="3"/>
  <c r="D92" i="3"/>
  <c r="D90" i="3"/>
  <c r="D88" i="3"/>
  <c r="D86" i="3"/>
  <c r="G85" i="3"/>
  <c r="F85" i="3"/>
  <c r="E85" i="3"/>
  <c r="D82" i="3"/>
  <c r="D80" i="3"/>
  <c r="D79" i="3"/>
  <c r="G78" i="3"/>
  <c r="G76" i="3" s="1"/>
  <c r="D73" i="3"/>
  <c r="D70" i="3"/>
  <c r="G68" i="3"/>
  <c r="G67" i="3" s="1"/>
  <c r="D65" i="3"/>
  <c r="D62" i="3"/>
  <c r="D56" i="3"/>
  <c r="D54" i="3"/>
  <c r="D53" i="3"/>
  <c r="D50" i="3"/>
  <c r="D48" i="3"/>
  <c r="G47" i="3"/>
  <c r="D44" i="3"/>
  <c r="D42" i="3"/>
  <c r="D39" i="3"/>
  <c r="D36" i="3"/>
  <c r="D35" i="3"/>
  <c r="D33" i="3"/>
  <c r="D32" i="3"/>
  <c r="D30" i="3"/>
  <c r="D28" i="3"/>
  <c r="D27" i="3"/>
  <c r="D25" i="3"/>
  <c r="D21" i="3"/>
  <c r="D20" i="3"/>
  <c r="D19" i="3"/>
  <c r="D14" i="3"/>
  <c r="G13" i="3"/>
  <c r="I18" i="3"/>
  <c r="I342" i="3" s="1"/>
  <c r="I26" i="3"/>
  <c r="I343" i="3" s="1"/>
  <c r="H33" i="3"/>
  <c r="K26" i="3"/>
  <c r="K343" i="3" s="1"/>
  <c r="K31" i="3"/>
  <c r="K37" i="3"/>
  <c r="J91" i="3"/>
  <c r="J89" i="3" s="1"/>
  <c r="J245" i="3"/>
  <c r="J243" i="3" s="1"/>
  <c r="J18" i="3"/>
  <c r="J342" i="3" s="1"/>
  <c r="J31" i="3"/>
  <c r="H19" i="3"/>
  <c r="H27" i="3"/>
  <c r="H32" i="3"/>
  <c r="H20" i="3"/>
  <c r="H39" i="3"/>
  <c r="H17" i="3"/>
  <c r="L17" i="3" s="1"/>
  <c r="H35" i="3"/>
  <c r="H25" i="3"/>
  <c r="H36" i="3"/>
  <c r="H30" i="3"/>
  <c r="H44" i="3"/>
  <c r="H48" i="3"/>
  <c r="K47" i="3"/>
  <c r="K46" i="3" s="1"/>
  <c r="J47" i="3"/>
  <c r="J46" i="3" s="1"/>
  <c r="I52" i="3"/>
  <c r="I51" i="3" s="1"/>
  <c r="K52" i="3"/>
  <c r="K51" i="3" s="1"/>
  <c r="J52" i="3"/>
  <c r="J51" i="3" s="1"/>
  <c r="H53" i="3"/>
  <c r="H54" i="3"/>
  <c r="H56" i="3"/>
  <c r="J60" i="3"/>
  <c r="J58" i="3" s="1"/>
  <c r="H62" i="3"/>
  <c r="H65" i="3"/>
  <c r="H66" i="3"/>
  <c r="H69" i="3"/>
  <c r="H70" i="3"/>
  <c r="H73" i="3"/>
  <c r="H74" i="3"/>
  <c r="H82" i="3"/>
  <c r="K78" i="3"/>
  <c r="K76" i="3" s="1"/>
  <c r="H83" i="3"/>
  <c r="K85" i="3"/>
  <c r="J85" i="3"/>
  <c r="H88" i="3"/>
  <c r="H100" i="3"/>
  <c r="H90" i="3"/>
  <c r="H92" i="3"/>
  <c r="H94" i="3"/>
  <c r="H95" i="3"/>
  <c r="H97" i="3"/>
  <c r="H102" i="3"/>
  <c r="J103" i="3"/>
  <c r="K104" i="3"/>
  <c r="J104" i="3"/>
  <c r="H106" i="3"/>
  <c r="H108" i="3"/>
  <c r="H110" i="3"/>
  <c r="H112" i="3"/>
  <c r="H113" i="3"/>
  <c r="J116" i="3"/>
  <c r="J114" i="3" s="1"/>
  <c r="H117" i="3"/>
  <c r="H118" i="3"/>
  <c r="H119" i="3"/>
  <c r="H121" i="3"/>
  <c r="H123" i="3"/>
  <c r="H124" i="3"/>
  <c r="H134" i="3"/>
  <c r="J127" i="3"/>
  <c r="J125" i="3" s="1"/>
  <c r="H128" i="3"/>
  <c r="H129" i="3"/>
  <c r="H130" i="3"/>
  <c r="H132" i="3"/>
  <c r="H133" i="3"/>
  <c r="H135" i="3"/>
  <c r="J138" i="3"/>
  <c r="H141" i="3"/>
  <c r="H142" i="3"/>
  <c r="H143" i="3"/>
  <c r="H145" i="3"/>
  <c r="I155" i="3"/>
  <c r="K155" i="3"/>
  <c r="J148" i="3"/>
  <c r="J155" i="3"/>
  <c r="H149" i="3"/>
  <c r="H150" i="3"/>
  <c r="H151" i="3"/>
  <c r="H153" i="3"/>
  <c r="H157" i="3"/>
  <c r="H158" i="3"/>
  <c r="H159" i="3"/>
  <c r="K169" i="3"/>
  <c r="J162" i="3"/>
  <c r="J169" i="3"/>
  <c r="H164" i="3"/>
  <c r="H165" i="3"/>
  <c r="H166" i="3"/>
  <c r="H168" i="3"/>
  <c r="H171" i="3"/>
  <c r="H172" i="3"/>
  <c r="H173" i="3"/>
  <c r="I182" i="3"/>
  <c r="K182" i="3"/>
  <c r="J176" i="3"/>
  <c r="J182" i="3"/>
  <c r="H177" i="3"/>
  <c r="H178" i="3"/>
  <c r="H179" i="3"/>
  <c r="H180" i="3"/>
  <c r="H181" i="3"/>
  <c r="H184" i="3"/>
  <c r="H185" i="3"/>
  <c r="J189" i="3"/>
  <c r="J195" i="3"/>
  <c r="H190" i="3"/>
  <c r="H191" i="3"/>
  <c r="H192" i="3"/>
  <c r="H193" i="3"/>
  <c r="H194" i="3"/>
  <c r="H196" i="3"/>
  <c r="H197" i="3"/>
  <c r="H207" i="3"/>
  <c r="K206" i="3"/>
  <c r="H206" i="3" s="1"/>
  <c r="J200" i="3"/>
  <c r="J198" i="3" s="1"/>
  <c r="H201" i="3"/>
  <c r="H202" i="3"/>
  <c r="H203" i="3"/>
  <c r="H204" i="3"/>
  <c r="H205" i="3"/>
  <c r="H208" i="3"/>
  <c r="H209" i="3"/>
  <c r="H213" i="3"/>
  <c r="H216" i="3"/>
  <c r="H217" i="3"/>
  <c r="K227" i="3"/>
  <c r="J221" i="3"/>
  <c r="J227" i="3"/>
  <c r="H223" i="3"/>
  <c r="H224" i="3"/>
  <c r="H225" i="3"/>
  <c r="H226" i="3"/>
  <c r="H228" i="3"/>
  <c r="H230" i="3"/>
  <c r="H241" i="3"/>
  <c r="K231" i="3"/>
  <c r="J231" i="3"/>
  <c r="H234" i="3"/>
  <c r="H235" i="3"/>
  <c r="H236" i="3"/>
  <c r="H238" i="3"/>
  <c r="H242" i="3"/>
  <c r="K251" i="3"/>
  <c r="H246" i="3"/>
  <c r="H247" i="3"/>
  <c r="H248" i="3"/>
  <c r="H249" i="3"/>
  <c r="H250" i="3"/>
  <c r="H252" i="3"/>
  <c r="H254" i="3"/>
  <c r="J257" i="3"/>
  <c r="H258" i="3"/>
  <c r="H259" i="3"/>
  <c r="H260" i="3"/>
  <c r="H261" i="3"/>
  <c r="H262" i="3"/>
  <c r="H264" i="3"/>
  <c r="I273" i="3"/>
  <c r="K273" i="3"/>
  <c r="K344" i="3" s="1"/>
  <c r="J267" i="3"/>
  <c r="J273" i="3"/>
  <c r="H268" i="3"/>
  <c r="H269" i="3"/>
  <c r="H270" i="3"/>
  <c r="H271" i="3"/>
  <c r="H272" i="3"/>
  <c r="H274" i="3"/>
  <c r="H276" i="3"/>
  <c r="J279" i="3"/>
  <c r="J277" i="3" s="1"/>
  <c r="H281" i="3"/>
  <c r="H282" i="3"/>
  <c r="H283" i="3"/>
  <c r="H284" i="3"/>
  <c r="H285" i="3"/>
  <c r="I286" i="3"/>
  <c r="J286" i="3"/>
  <c r="H289" i="3"/>
  <c r="H290" i="3"/>
  <c r="H293" i="3"/>
  <c r="H294" i="3"/>
  <c r="J295" i="3"/>
  <c r="H299" i="3"/>
  <c r="H301" i="3"/>
  <c r="H302" i="3"/>
  <c r="H306" i="3"/>
  <c r="H307" i="3"/>
  <c r="H308" i="3"/>
  <c r="H310" i="3"/>
  <c r="H314" i="3"/>
  <c r="I315" i="3"/>
  <c r="K315" i="3"/>
  <c r="J315" i="3"/>
  <c r="H317" i="3"/>
  <c r="I318" i="3"/>
  <c r="J318" i="3"/>
  <c r="K318" i="3"/>
  <c r="H321" i="3"/>
  <c r="H322" i="3"/>
  <c r="H324" i="3"/>
  <c r="J339" i="3"/>
  <c r="I340" i="3"/>
  <c r="K340" i="3"/>
  <c r="J340" i="3"/>
  <c r="I31" i="3"/>
  <c r="I37" i="3"/>
  <c r="J76" i="3"/>
  <c r="H280" i="3"/>
  <c r="H28" i="3"/>
  <c r="H335" i="3"/>
  <c r="H229" i="3"/>
  <c r="H139" i="3"/>
  <c r="I295" i="3"/>
  <c r="D38" i="3"/>
  <c r="H222" i="3"/>
  <c r="I104" i="3"/>
  <c r="J37" i="3"/>
  <c r="H42" i="3"/>
  <c r="H38" i="3"/>
  <c r="H163" i="3"/>
  <c r="I85" i="3"/>
  <c r="H50" i="3"/>
  <c r="H212" i="3"/>
  <c r="H183" i="3"/>
  <c r="H170" i="3"/>
  <c r="H79" i="3"/>
  <c r="H156" i="3"/>
  <c r="H86" i="3"/>
  <c r="I76" i="3"/>
  <c r="I47" i="3"/>
  <c r="H253" i="3"/>
  <c r="H80" i="3"/>
  <c r="H275" i="3"/>
  <c r="J77" i="3"/>
  <c r="I77" i="3"/>
  <c r="K345" i="3" l="1"/>
  <c r="I345" i="3"/>
  <c r="G146" i="3"/>
  <c r="J344" i="3"/>
  <c r="J345" i="3"/>
  <c r="G136" i="3"/>
  <c r="J341" i="3"/>
  <c r="I341" i="3"/>
  <c r="K146" i="3"/>
  <c r="I174" i="3"/>
  <c r="D212" i="3"/>
  <c r="D211" i="3" s="1"/>
  <c r="E210" i="3"/>
  <c r="D210" i="3" s="1"/>
  <c r="E198" i="3"/>
  <c r="G174" i="3"/>
  <c r="D182" i="3"/>
  <c r="K219" i="3"/>
  <c r="G187" i="3"/>
  <c r="D195" i="3"/>
  <c r="D169" i="3"/>
  <c r="D320" i="3"/>
  <c r="D47" i="3"/>
  <c r="D162" i="3"/>
  <c r="D251" i="3"/>
  <c r="D116" i="3"/>
  <c r="D155" i="3"/>
  <c r="D263" i="3"/>
  <c r="D84" i="3"/>
  <c r="D148" i="3"/>
  <c r="D221" i="3"/>
  <c r="D231" i="3"/>
  <c r="D127" i="3"/>
  <c r="E136" i="3"/>
  <c r="G243" i="3"/>
  <c r="K255" i="3"/>
  <c r="H255" i="3" s="1"/>
  <c r="D125" i="3"/>
  <c r="E68" i="3"/>
  <c r="E67" i="3" s="1"/>
  <c r="D67" i="3" s="1"/>
  <c r="D295" i="3"/>
  <c r="H47" i="3"/>
  <c r="K160" i="3"/>
  <c r="H160" i="3" s="1"/>
  <c r="D280" i="3"/>
  <c r="K77" i="3"/>
  <c r="H77" i="3" s="1"/>
  <c r="J219" i="3"/>
  <c r="D61" i="3"/>
  <c r="E76" i="3"/>
  <c r="D76" i="3" s="1"/>
  <c r="D103" i="3"/>
  <c r="E146" i="3"/>
  <c r="D146" i="3" s="1"/>
  <c r="D189" i="3"/>
  <c r="D267" i="3"/>
  <c r="F265" i="3"/>
  <c r="G255" i="3"/>
  <c r="D334" i="3"/>
  <c r="D257" i="3"/>
  <c r="F243" i="3"/>
  <c r="F136" i="3"/>
  <c r="D18" i="3"/>
  <c r="D342" i="3" s="1"/>
  <c r="H315" i="3"/>
  <c r="E265" i="3"/>
  <c r="D337" i="3"/>
  <c r="H340" i="3"/>
  <c r="E160" i="3"/>
  <c r="H227" i="3"/>
  <c r="G77" i="3"/>
  <c r="D77" i="3" s="1"/>
  <c r="G12" i="3"/>
  <c r="E114" i="3"/>
  <c r="D114" i="3" s="1"/>
  <c r="D333" i="3"/>
  <c r="F210" i="3"/>
  <c r="F341" i="3" s="1"/>
  <c r="G219" i="3"/>
  <c r="K265" i="3"/>
  <c r="K243" i="3"/>
  <c r="H243" i="3" s="1"/>
  <c r="D335" i="3"/>
  <c r="D338" i="3"/>
  <c r="E219" i="3"/>
  <c r="G160" i="3"/>
  <c r="F174" i="3"/>
  <c r="H85" i="3"/>
  <c r="D144" i="3"/>
  <c r="I265" i="3"/>
  <c r="H148" i="3"/>
  <c r="H138" i="3"/>
  <c r="D233" i="3"/>
  <c r="G341" i="3"/>
  <c r="H127" i="3"/>
  <c r="D245" i="3"/>
  <c r="H303" i="3"/>
  <c r="H31" i="3"/>
  <c r="H189" i="3"/>
  <c r="H104" i="3"/>
  <c r="H114" i="3"/>
  <c r="K136" i="3"/>
  <c r="H136" i="3" s="1"/>
  <c r="H295" i="3"/>
  <c r="I125" i="3"/>
  <c r="H125" i="3" s="1"/>
  <c r="H89" i="3"/>
  <c r="H52" i="3"/>
  <c r="H37" i="3"/>
  <c r="H26" i="3"/>
  <c r="H343" i="3" s="1"/>
  <c r="D13" i="3"/>
  <c r="D176" i="3"/>
  <c r="G46" i="3"/>
  <c r="D46" i="3" s="1"/>
  <c r="E187" i="3"/>
  <c r="D78" i="3"/>
  <c r="E243" i="3"/>
  <c r="F146" i="3"/>
  <c r="D51" i="3"/>
  <c r="H182" i="3"/>
  <c r="D105" i="3"/>
  <c r="E255" i="3"/>
  <c r="H195" i="3"/>
  <c r="H169" i="3"/>
  <c r="D52" i="3"/>
  <c r="F77" i="3"/>
  <c r="D104" i="3"/>
  <c r="D138" i="3"/>
  <c r="E174" i="3"/>
  <c r="F198" i="3"/>
  <c r="G198" i="3"/>
  <c r="H76" i="3"/>
  <c r="D89" i="3"/>
  <c r="F255" i="3"/>
  <c r="H91" i="3"/>
  <c r="H84" i="3"/>
  <c r="K288" i="3"/>
  <c r="K341" i="3" s="1"/>
  <c r="H318" i="3"/>
  <c r="H210" i="3"/>
  <c r="J187" i="3"/>
  <c r="H155" i="3"/>
  <c r="D315" i="3"/>
  <c r="F344" i="3"/>
  <c r="H279" i="3"/>
  <c r="D85" i="3"/>
  <c r="D206" i="3"/>
  <c r="K174" i="3"/>
  <c r="K198" i="3"/>
  <c r="H198" i="3" s="1"/>
  <c r="F219" i="3"/>
  <c r="J160" i="3"/>
  <c r="H267" i="3"/>
  <c r="G265" i="3"/>
  <c r="H103" i="3"/>
  <c r="H320" i="3"/>
  <c r="H337" i="3"/>
  <c r="J136" i="3"/>
  <c r="J255" i="3"/>
  <c r="D303" i="3"/>
  <c r="D332" i="3"/>
  <c r="H116" i="3"/>
  <c r="J146" i="3"/>
  <c r="H338" i="3"/>
  <c r="H68" i="3"/>
  <c r="H330" i="3"/>
  <c r="H78" i="3"/>
  <c r="H231" i="3"/>
  <c r="D273" i="3"/>
  <c r="E12" i="3"/>
  <c r="D305" i="3"/>
  <c r="H332" i="3"/>
  <c r="J174" i="3"/>
  <c r="D31" i="3"/>
  <c r="D296" i="3"/>
  <c r="H176" i="3"/>
  <c r="H200" i="3"/>
  <c r="H257" i="3"/>
  <c r="J12" i="3"/>
  <c r="H51" i="3"/>
  <c r="D26" i="3"/>
  <c r="D343" i="3" s="1"/>
  <c r="I277" i="3"/>
  <c r="H277" i="3" s="1"/>
  <c r="E318" i="3"/>
  <c r="D318" i="3" s="1"/>
  <c r="H21" i="3"/>
  <c r="E329" i="3"/>
  <c r="D329" i="3" s="1"/>
  <c r="D331" i="3"/>
  <c r="D339" i="3"/>
  <c r="D340" i="3"/>
  <c r="F187" i="3"/>
  <c r="G345" i="3"/>
  <c r="E344" i="3"/>
  <c r="H334" i="3"/>
  <c r="K333" i="3"/>
  <c r="H333" i="3" s="1"/>
  <c r="J265" i="3"/>
  <c r="H339" i="3"/>
  <c r="I146" i="3"/>
  <c r="H67" i="3"/>
  <c r="H61" i="3"/>
  <c r="H14" i="3"/>
  <c r="L14" i="3" s="1"/>
  <c r="F329" i="3"/>
  <c r="D330" i="3"/>
  <c r="F160" i="3"/>
  <c r="D91" i="3"/>
  <c r="H105" i="3"/>
  <c r="H162" i="3"/>
  <c r="H245" i="3"/>
  <c r="F58" i="3"/>
  <c r="I58" i="3"/>
  <c r="H58" i="3" s="1"/>
  <c r="H60" i="3"/>
  <c r="I12" i="3"/>
  <c r="H13" i="3"/>
  <c r="H18" i="3"/>
  <c r="K12" i="3"/>
  <c r="D279" i="3"/>
  <c r="E277" i="3"/>
  <c r="D277" i="3" s="1"/>
  <c r="I219" i="3"/>
  <c r="H221" i="3"/>
  <c r="D60" i="3"/>
  <c r="E58" i="3"/>
  <c r="D58" i="3" s="1"/>
  <c r="F345" i="3"/>
  <c r="F12" i="3"/>
  <c r="H263" i="3"/>
  <c r="H251" i="3"/>
  <c r="I46" i="3"/>
  <c r="H46" i="3" s="1"/>
  <c r="E345" i="3"/>
  <c r="H144" i="3"/>
  <c r="H273" i="3"/>
  <c r="D200" i="3"/>
  <c r="H305" i="3"/>
  <c r="D37" i="3"/>
  <c r="E288" i="3"/>
  <c r="D136" i="3" l="1"/>
  <c r="H345" i="3"/>
  <c r="J325" i="3"/>
  <c r="J328" i="3" s="1"/>
  <c r="H344" i="3"/>
  <c r="I325" i="3"/>
  <c r="I328" i="3" s="1"/>
  <c r="I344" i="3"/>
  <c r="H342" i="3"/>
  <c r="H174" i="3"/>
  <c r="D198" i="3"/>
  <c r="D174" i="3"/>
  <c r="H219" i="3"/>
  <c r="D187" i="3"/>
  <c r="H187" i="3"/>
  <c r="D243" i="3"/>
  <c r="D265" i="3"/>
  <c r="G344" i="3"/>
  <c r="D160" i="3"/>
  <c r="D68" i="3"/>
  <c r="D255" i="3"/>
  <c r="H265" i="3"/>
  <c r="D219" i="3"/>
  <c r="D12" i="3"/>
  <c r="H146" i="3"/>
  <c r="D345" i="3"/>
  <c r="G325" i="3"/>
  <c r="H329" i="3"/>
  <c r="F325" i="3"/>
  <c r="D344" i="3"/>
  <c r="K286" i="3"/>
  <c r="K325" i="3" s="1"/>
  <c r="H288" i="3"/>
  <c r="H341" i="3" s="1"/>
  <c r="H12" i="3"/>
  <c r="D288" i="3"/>
  <c r="E286" i="3"/>
  <c r="E341" i="3"/>
  <c r="D341" i="3" l="1"/>
  <c r="H286" i="3"/>
  <c r="E325" i="3"/>
  <c r="D325" i="3" s="1"/>
  <c r="D286" i="3"/>
  <c r="K328" i="3" l="1"/>
  <c r="H328" i="3" s="1"/>
  <c r="H325" i="3"/>
</calcChain>
</file>

<file path=xl/sharedStrings.xml><?xml version="1.0" encoding="utf-8"?>
<sst xmlns="http://schemas.openxmlformats.org/spreadsheetml/2006/main" count="406" uniqueCount="98">
  <si>
    <t>Išlaidoms</t>
  </si>
  <si>
    <t>Turtui įsigyti</t>
  </si>
  <si>
    <t>Programos kodas</t>
  </si>
  <si>
    <t>B</t>
  </si>
  <si>
    <t>L</t>
  </si>
  <si>
    <t>S</t>
  </si>
  <si>
    <t>R</t>
  </si>
  <si>
    <t>P</t>
  </si>
  <si>
    <t>D</t>
  </si>
  <si>
    <t>I</t>
  </si>
  <si>
    <t>K</t>
  </si>
  <si>
    <t>U</t>
  </si>
  <si>
    <t>Kupiškio rajono savivaldybės administracija</t>
  </si>
  <si>
    <t>Kupiškio socialinių paslaugų centras</t>
  </si>
  <si>
    <t>Kupiškio Lauryno Stuokos-Gucevičiaus gimnazija</t>
  </si>
  <si>
    <t>Kupiškio Povilo Matulionio progimnazija</t>
  </si>
  <si>
    <t>Kupiškio r. Alizavos pagrindinė mokykla</t>
  </si>
  <si>
    <t>Kupiškio jaunimo centras</t>
  </si>
  <si>
    <t>Kupiškio Kupos pradinė mokykla</t>
  </si>
  <si>
    <t>Kupiškio meno mokykla</t>
  </si>
  <si>
    <t>Kupiškio etnografijos muziejus</t>
  </si>
  <si>
    <t>Kupiškio r. švietimo pagalbos tarnyba</t>
  </si>
  <si>
    <t>Kupiškio rajono savivaldybės kontrolės ir audito tarnyba</t>
  </si>
  <si>
    <t>Kupiškio rajono  šv. Kazimiero vaikų globos namai</t>
  </si>
  <si>
    <t>Ekonominio konkurencingumo ir investicijų plėtros programa</t>
  </si>
  <si>
    <t>Viešosios infrastruktūros plėtros programa</t>
  </si>
  <si>
    <t>Socialinės ir sveikatos apsaugos programa</t>
  </si>
  <si>
    <t>Savivaldybės valdymo ir pagrindinių funkcijų vykdymo programa</t>
  </si>
  <si>
    <t>Kupiškio rajono savivaldybės tarybos</t>
  </si>
  <si>
    <t>3 priedas</t>
  </si>
  <si>
    <t>Iš viso asignavimų</t>
  </si>
  <si>
    <t>iš viso</t>
  </si>
  <si>
    <t>iš jų:  darbo užmokesčiui</t>
  </si>
  <si>
    <t>Asignavimų valdytojas /                                Vykdoma programa</t>
  </si>
  <si>
    <t>Biudžetinių įstaigų pajamų įmokų lėšos</t>
  </si>
  <si>
    <t>Paskolų lėšos</t>
  </si>
  <si>
    <t>Specialiųjų programų lėšos</t>
  </si>
  <si>
    <t>Valstybės investicijų programoje numatytiems projektams finansuoti</t>
  </si>
  <si>
    <t>Valstybinėms ( valstybės perduotoms savivaldybėms ) funkcijoms atlikti</t>
  </si>
  <si>
    <t>Kupiškio rajono savivaldybės administracijos                               Socialinės paramos skyrius</t>
  </si>
  <si>
    <t>Kupiškio rajono savivaldybės administracijos                                          Finansų ir biudžeto skyrius</t>
  </si>
  <si>
    <t>Kupiškio mokykla „Varpelis“</t>
  </si>
  <si>
    <t>Kupiškio vaikų lopšelis-darželis „Obelėlė“</t>
  </si>
  <si>
    <t>Kupiškio rajono savivaldybės priešgaisrinė tarnyba</t>
  </si>
  <si>
    <t>Kupiškio rajono savivaldybės kultūros centras</t>
  </si>
  <si>
    <t>Kupiškio rajono savivaldybės viešoji biblioteka</t>
  </si>
  <si>
    <t>Kupiškio vaikų lopšelis-darželis „Saulutė“</t>
  </si>
  <si>
    <t>Savivaldybės biudžeto lėšos (bendroms biudžeto reikmėms)</t>
  </si>
  <si>
    <t>2014 metų nepanaudotas biudžeto lėšų likutis</t>
  </si>
  <si>
    <t>Tikslinės paskirties lėšos</t>
  </si>
  <si>
    <t>Kupiškio r. kūno kultūros ir sporto centras</t>
  </si>
  <si>
    <t>01</t>
  </si>
  <si>
    <t>Bendros vastybės paslaugos</t>
  </si>
  <si>
    <t>Gynyba</t>
  </si>
  <si>
    <t>03</t>
  </si>
  <si>
    <t>Viešoji tvarka ir visuomenės apsauga</t>
  </si>
  <si>
    <t>04</t>
  </si>
  <si>
    <t>Ekonomika</t>
  </si>
  <si>
    <t>05</t>
  </si>
  <si>
    <t>Aplinkos apsauga</t>
  </si>
  <si>
    <t>06</t>
  </si>
  <si>
    <t>Būstas ir komunalinis ūkis</t>
  </si>
  <si>
    <t>07</t>
  </si>
  <si>
    <t>Sveikatos apsauga</t>
  </si>
  <si>
    <t>08</t>
  </si>
  <si>
    <t>Poilsis, kultūra ir religija</t>
  </si>
  <si>
    <t>09</t>
  </si>
  <si>
    <t>Švietimas</t>
  </si>
  <si>
    <t>10</t>
  </si>
  <si>
    <t>Socialinė apsauga</t>
  </si>
  <si>
    <t>____________________</t>
  </si>
  <si>
    <t>02</t>
  </si>
  <si>
    <t>iš jų: finansinių įsipareigojimų vykdymas (paskolų grąžinimas)</t>
  </si>
  <si>
    <t xml:space="preserve">IŠ VISO ASIGNAVIMŲ </t>
  </si>
  <si>
    <t>(eurais)</t>
  </si>
  <si>
    <t>iš jų: Kupiškio rajono savivaldybės administracijos direktoriaus rezervas</t>
  </si>
  <si>
    <t>iš jų: Kupiškio rajono savivaldybės taryba</t>
  </si>
  <si>
    <t>E</t>
  </si>
  <si>
    <t>Žinių visuomenės, kultūrinio ir sportinio aktyvumo skatinimo programa</t>
  </si>
  <si>
    <t>Kupiškio r. Subačiaus  gimnazija</t>
  </si>
  <si>
    <t>Kupiškio r. Antašavos mokykla-daugiafunkcis centras</t>
  </si>
  <si>
    <t>Kupiškio r. Rudilių Jono Laužiko universalus daugiafunkcis centras</t>
  </si>
  <si>
    <t>Kupiškio r. Adomynės mokykla-daugiafunckis centras</t>
  </si>
  <si>
    <t>Europos Sąjungos finansinės paramos lėšos</t>
  </si>
  <si>
    <t>iš jų: trumpalaikiams įsipareigojimas, buvusiems 2015 m. gruodžio 31 d., padengti iš 2015 metų biudžeto nepanaudotos pajamų dalies</t>
  </si>
  <si>
    <t>VB</t>
  </si>
  <si>
    <t>Valstybės biudžeto lėšos</t>
  </si>
  <si>
    <t>Kupiškio r. Šimonių pagrindinė mokykla</t>
  </si>
  <si>
    <t>Kupiškio r. Salamiesčio pagrindinė mokykla</t>
  </si>
  <si>
    <t>Finansa-vimo šaltinis</t>
  </si>
  <si>
    <t>Kupiškio r. Šepetos Almos Adamkienės pagrindinė mokykla</t>
  </si>
  <si>
    <t>Kupiškio r. Subačiaus vaikų lopšelis-darželis</t>
  </si>
  <si>
    <t>IŠ VISO IŠLAIDŲ</t>
  </si>
  <si>
    <t>Ugdymo reikmėms finansuoti</t>
  </si>
  <si>
    <t>PATVIRTINTA</t>
  </si>
  <si>
    <t xml:space="preserve">KUPIŠKIO RAJONO SAVIVALDYBĖS 2021 METŲ BIUDŽETO ASIGNAVIMAI  PAGAL ASIGNAVIMŲ VALDYTOJUS IR  LĖŠŲ ŠALTINIUS </t>
  </si>
  <si>
    <t>iš jų: Dalyvaujamasis biudžetas</t>
  </si>
  <si>
    <t xml:space="preserve">2021 m. vasario    d. sprendimu Nr. TS-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</si>
</sst>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2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 applyProtection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3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3" borderId="1" xfId="0" applyNumberFormat="1" applyFont="1" applyFill="1" applyBorder="1" applyAlignment="1" applyProtection="1">
      <alignment horizontal="right" vertical="center" wrapText="1"/>
    </xf>
    <xf numFmtId="1" fontId="4" fillId="3" borderId="1" xfId="0" applyNumberFormat="1" applyFont="1" applyFill="1" applyBorder="1" applyAlignment="1">
      <alignment horizontal="right" vertical="center"/>
    </xf>
    <xf numFmtId="1" fontId="2" fillId="3" borderId="1" xfId="0" applyNumberFormat="1" applyFont="1" applyFill="1" applyBorder="1" applyAlignment="1" applyProtection="1">
      <alignment horizontal="right" vertical="center" wrapText="1"/>
    </xf>
    <xf numFmtId="1" fontId="2" fillId="3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1" fontId="2" fillId="3" borderId="1" xfId="0" applyNumberFormat="1" applyFont="1" applyFill="1" applyBorder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vertical="center" wrapText="1"/>
    </xf>
    <xf numFmtId="1" fontId="4" fillId="0" borderId="1" xfId="0" applyNumberFormat="1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vertical="center" wrapText="1"/>
    </xf>
    <xf numFmtId="1" fontId="2" fillId="5" borderId="1" xfId="0" applyNumberFormat="1" applyFont="1" applyFill="1" applyBorder="1" applyAlignment="1">
      <alignment horizontal="right" vertical="center" wrapText="1"/>
    </xf>
    <xf numFmtId="1" fontId="4" fillId="5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 applyProtection="1">
      <alignment horizontal="right" vertical="center" wrapText="1"/>
    </xf>
    <xf numFmtId="1" fontId="2" fillId="5" borderId="1" xfId="0" applyNumberFormat="1" applyFont="1" applyFill="1" applyBorder="1" applyAlignment="1" applyProtection="1">
      <alignment horizontal="right" vertical="center" wrapText="1"/>
    </xf>
    <xf numFmtId="1" fontId="2" fillId="5" borderId="1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 applyProtection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 applyProtection="1">
      <alignment horizontal="right" vertical="center" wrapText="1"/>
    </xf>
    <xf numFmtId="0" fontId="4" fillId="5" borderId="1" xfId="0" applyFont="1" applyFill="1" applyBorder="1" applyAlignment="1">
      <alignment horizontal="right" vertical="center"/>
    </xf>
    <xf numFmtId="1" fontId="4" fillId="3" borderId="2" xfId="0" applyNumberFormat="1" applyFont="1" applyFill="1" applyBorder="1" applyAlignment="1" applyProtection="1">
      <alignment horizontal="right" vertical="center" wrapText="1"/>
    </xf>
    <xf numFmtId="3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3" fontId="4" fillId="0" borderId="1" xfId="0" applyNumberFormat="1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left" vertical="center" wrapText="1"/>
    </xf>
    <xf numFmtId="3" fontId="4" fillId="0" borderId="8" xfId="0" applyNumberFormat="1" applyFont="1" applyFill="1" applyBorder="1" applyAlignment="1" applyProtection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left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 applyProtection="1">
      <alignment horizontal="left" vertical="center" wrapText="1"/>
    </xf>
    <xf numFmtId="3" fontId="3" fillId="0" borderId="5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 applyProtection="1">
      <alignment horizontal="left" vertical="center" wrapText="1"/>
    </xf>
    <xf numFmtId="3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3" fontId="4" fillId="0" borderId="5" xfId="0" applyNumberFormat="1" applyFont="1" applyFill="1" applyBorder="1" applyAlignment="1" applyProtection="1">
      <alignment horizontal="left" vertical="center" wrapText="1"/>
    </xf>
    <xf numFmtId="3" fontId="2" fillId="0" borderId="5" xfId="0" applyNumberFormat="1" applyFont="1" applyFill="1" applyBorder="1" applyAlignment="1" applyProtection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left" vertical="center" wrapText="1"/>
    </xf>
    <xf numFmtId="3" fontId="8" fillId="0" borderId="5" xfId="0" applyNumberFormat="1" applyFont="1" applyFill="1" applyBorder="1" applyAlignment="1" applyProtection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1">
    <cellStyle name="Įprastas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7"/>
  <sheetViews>
    <sheetView tabSelected="1" zoomScaleNormal="100" workbookViewId="0">
      <pane ySplit="11" topLeftCell="A226" activePane="bottomLeft" state="frozen"/>
      <selection pane="bottomLeft" activeCell="A286" sqref="A286:XFD286"/>
    </sheetView>
  </sheetViews>
  <sheetFormatPr defaultColWidth="8.85546875" defaultRowHeight="15" x14ac:dyDescent="0.2"/>
  <cols>
    <col min="1" max="1" width="10.7109375" style="8" customWidth="1"/>
    <col min="2" max="2" width="36.140625" style="3" customWidth="1"/>
    <col min="3" max="3" width="6.85546875" style="8" customWidth="1"/>
    <col min="4" max="5" width="13.140625" style="8" hidden="1" customWidth="1"/>
    <col min="6" max="6" width="13.5703125" style="8" hidden="1" customWidth="1"/>
    <col min="7" max="7" width="10.85546875" style="8" hidden="1" customWidth="1"/>
    <col min="8" max="8" width="11.28515625" style="7" customWidth="1"/>
    <col min="9" max="10" width="11.140625" style="9" customWidth="1"/>
    <col min="11" max="11" width="9.140625" style="9" customWidth="1"/>
    <col min="12" max="12" width="8.85546875" style="3" hidden="1" customWidth="1"/>
    <col min="13" max="16384" width="8.85546875" style="3"/>
  </cols>
  <sheetData>
    <row r="1" spans="1:18" x14ac:dyDescent="0.2">
      <c r="C1" s="71" t="s">
        <v>94</v>
      </c>
    </row>
    <row r="2" spans="1:18" x14ac:dyDescent="0.2">
      <c r="C2" s="1" t="s">
        <v>28</v>
      </c>
      <c r="H2" s="1"/>
      <c r="I2" s="3"/>
      <c r="J2" s="3"/>
    </row>
    <row r="3" spans="1:18" x14ac:dyDescent="0.2">
      <c r="C3" s="107" t="s">
        <v>97</v>
      </c>
      <c r="D3" s="107"/>
      <c r="E3" s="107"/>
      <c r="F3" s="107"/>
      <c r="G3" s="107"/>
      <c r="H3" s="107"/>
      <c r="I3" s="107"/>
      <c r="J3" s="107"/>
      <c r="K3" s="107"/>
    </row>
    <row r="4" spans="1:18" ht="13.9" hidden="1" customHeight="1" x14ac:dyDescent="0.2">
      <c r="C4" s="107"/>
      <c r="D4" s="107"/>
      <c r="E4" s="107"/>
      <c r="F4" s="107"/>
      <c r="G4" s="107"/>
      <c r="H4" s="107"/>
      <c r="I4" s="107"/>
      <c r="J4" s="107"/>
      <c r="K4" s="107"/>
    </row>
    <row r="5" spans="1:18" ht="13.9" customHeight="1" x14ac:dyDescent="0.2">
      <c r="C5" s="1" t="s">
        <v>29</v>
      </c>
      <c r="H5" s="1"/>
      <c r="I5" s="3"/>
      <c r="J5" s="3"/>
    </row>
    <row r="6" spans="1:18" ht="13.9" customHeight="1" x14ac:dyDescent="0.2">
      <c r="C6" s="1"/>
      <c r="H6" s="3"/>
    </row>
    <row r="7" spans="1:18" ht="39" customHeight="1" x14ac:dyDescent="0.2">
      <c r="A7" s="96" t="s">
        <v>95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2"/>
      <c r="N7" s="2"/>
      <c r="O7" s="2"/>
      <c r="P7" s="2"/>
      <c r="Q7" s="2"/>
      <c r="R7" s="2"/>
    </row>
    <row r="8" spans="1:18" ht="16.149999999999999" customHeight="1" x14ac:dyDescent="0.2">
      <c r="A8" s="29"/>
      <c r="B8" s="29"/>
      <c r="C8" s="29"/>
      <c r="D8" s="29"/>
      <c r="E8" s="29"/>
      <c r="F8" s="29"/>
      <c r="G8" s="29"/>
      <c r="H8" s="29"/>
      <c r="I8" s="29"/>
      <c r="J8" s="29"/>
      <c r="K8" s="30" t="s">
        <v>74</v>
      </c>
      <c r="L8" s="2"/>
      <c r="M8" s="2"/>
      <c r="N8" s="2"/>
      <c r="O8" s="2"/>
      <c r="P8" s="2"/>
      <c r="Q8" s="2"/>
      <c r="R8" s="2"/>
    </row>
    <row r="9" spans="1:18" ht="14.25" customHeight="1" x14ac:dyDescent="0.2">
      <c r="A9" s="97" t="s">
        <v>2</v>
      </c>
      <c r="B9" s="97" t="s">
        <v>33</v>
      </c>
      <c r="C9" s="98" t="s">
        <v>89</v>
      </c>
      <c r="D9" s="99" t="s">
        <v>30</v>
      </c>
      <c r="E9" s="99" t="s">
        <v>0</v>
      </c>
      <c r="F9" s="99"/>
      <c r="G9" s="99" t="s">
        <v>1</v>
      </c>
      <c r="H9" s="99" t="s">
        <v>30</v>
      </c>
      <c r="I9" s="99" t="s">
        <v>0</v>
      </c>
      <c r="J9" s="99"/>
      <c r="K9" s="99" t="s">
        <v>1</v>
      </c>
    </row>
    <row r="10" spans="1:18" ht="30" customHeight="1" x14ac:dyDescent="0.2">
      <c r="A10" s="97"/>
      <c r="B10" s="97"/>
      <c r="C10" s="98"/>
      <c r="D10" s="99"/>
      <c r="E10" s="65" t="s">
        <v>31</v>
      </c>
      <c r="F10" s="65" t="s">
        <v>32</v>
      </c>
      <c r="G10" s="99"/>
      <c r="H10" s="99"/>
      <c r="I10" s="65" t="s">
        <v>31</v>
      </c>
      <c r="J10" s="65" t="s">
        <v>32</v>
      </c>
      <c r="K10" s="99"/>
    </row>
    <row r="11" spans="1:18" ht="16.899999999999999" customHeight="1" x14ac:dyDescent="0.2">
      <c r="A11" s="64">
        <v>1</v>
      </c>
      <c r="B11" s="64">
        <v>2</v>
      </c>
      <c r="C11" s="20">
        <v>3</v>
      </c>
      <c r="D11" s="65">
        <v>4</v>
      </c>
      <c r="E11" s="65">
        <v>5</v>
      </c>
      <c r="F11" s="65">
        <v>6</v>
      </c>
      <c r="G11" s="65">
        <v>7</v>
      </c>
      <c r="H11" s="65">
        <v>4</v>
      </c>
      <c r="I11" s="65">
        <v>5</v>
      </c>
      <c r="J11" s="65">
        <v>6</v>
      </c>
      <c r="K11" s="65">
        <v>7</v>
      </c>
    </row>
    <row r="12" spans="1:18" ht="30" customHeight="1" x14ac:dyDescent="0.2">
      <c r="A12" s="80" t="s">
        <v>12</v>
      </c>
      <c r="B12" s="80"/>
      <c r="C12" s="81"/>
      <c r="D12" s="11">
        <f>E12+G12</f>
        <v>4576568</v>
      </c>
      <c r="E12" s="11">
        <f>E13+E18+E26+E31+E37</f>
        <v>3698477</v>
      </c>
      <c r="F12" s="11">
        <f>F13+F18+F26+F31+F37</f>
        <v>1073230</v>
      </c>
      <c r="G12" s="11">
        <f>G13+G18+G26+G31+G37</f>
        <v>878091</v>
      </c>
      <c r="H12" s="47">
        <f t="shared" ref="H12:H19" si="0">I12+K12</f>
        <v>7338874</v>
      </c>
      <c r="I12" s="38">
        <f>I13+I18+I26+I31+I37</f>
        <v>5595405</v>
      </c>
      <c r="J12" s="38">
        <f>J13+J18+J26+J31+J37</f>
        <v>2342503</v>
      </c>
      <c r="K12" s="38">
        <f>K13+K18+K26+K31+K37</f>
        <v>1743469</v>
      </c>
    </row>
    <row r="13" spans="1:18" ht="19.899999999999999" customHeight="1" x14ac:dyDescent="0.2">
      <c r="A13" s="84">
        <v>1</v>
      </c>
      <c r="B13" s="79" t="s">
        <v>78</v>
      </c>
      <c r="C13" s="21"/>
      <c r="D13" s="12">
        <f>E13+G13</f>
        <v>33466</v>
      </c>
      <c r="E13" s="13">
        <f>SUM(E14:E17)</f>
        <v>33466</v>
      </c>
      <c r="F13" s="13">
        <f>SUM(F14:F17)</f>
        <v>7080</v>
      </c>
      <c r="G13" s="13">
        <f>SUM(G14:G17)</f>
        <v>0</v>
      </c>
      <c r="H13" s="37">
        <f t="shared" si="0"/>
        <v>253329</v>
      </c>
      <c r="I13" s="39">
        <f>SUM(I14:I17)</f>
        <v>253329</v>
      </c>
      <c r="J13" s="39">
        <f>SUM(J14:J17)</f>
        <v>20165</v>
      </c>
      <c r="K13" s="39">
        <f>SUM(K14:K17)</f>
        <v>0</v>
      </c>
    </row>
    <row r="14" spans="1:18" ht="19.899999999999999" customHeight="1" x14ac:dyDescent="0.2">
      <c r="A14" s="84"/>
      <c r="B14" s="79"/>
      <c r="C14" s="21" t="s">
        <v>3</v>
      </c>
      <c r="D14" s="14">
        <f>E14+G14</f>
        <v>33466</v>
      </c>
      <c r="E14" s="15">
        <v>33466</v>
      </c>
      <c r="F14" s="15">
        <v>7080</v>
      </c>
      <c r="G14" s="15"/>
      <c r="H14" s="35">
        <f t="shared" si="0"/>
        <v>112960</v>
      </c>
      <c r="I14" s="36">
        <f>500+6000+20960+15000+20000+10000+2500+10000+10000+1000+1500+3500+3000+1000+4000+4000</f>
        <v>112960</v>
      </c>
      <c r="J14" s="36">
        <v>17700</v>
      </c>
      <c r="K14" s="36">
        <v>0</v>
      </c>
      <c r="L14" s="4">
        <f>H14+H19+H27+H32+H38</f>
        <v>4388747</v>
      </c>
    </row>
    <row r="15" spans="1:18" ht="19.899999999999999" customHeight="1" x14ac:dyDescent="0.2">
      <c r="A15" s="84"/>
      <c r="B15" s="79"/>
      <c r="C15" s="21" t="s">
        <v>77</v>
      </c>
      <c r="D15" s="14"/>
      <c r="E15" s="15"/>
      <c r="F15" s="15"/>
      <c r="G15" s="15"/>
      <c r="H15" s="35">
        <f t="shared" si="0"/>
        <v>5070</v>
      </c>
      <c r="I15" s="36">
        <v>5070</v>
      </c>
      <c r="J15" s="36">
        <v>0</v>
      </c>
      <c r="K15" s="36">
        <v>0</v>
      </c>
      <c r="L15" s="4"/>
    </row>
    <row r="16" spans="1:18" ht="19.899999999999999" customHeight="1" x14ac:dyDescent="0.2">
      <c r="A16" s="84"/>
      <c r="B16" s="79"/>
      <c r="C16" s="21" t="s">
        <v>11</v>
      </c>
      <c r="D16" s="14"/>
      <c r="E16" s="15"/>
      <c r="F16" s="15"/>
      <c r="G16" s="15"/>
      <c r="H16" s="35">
        <f t="shared" ref="H16" si="1">I16+K16</f>
        <v>59244</v>
      </c>
      <c r="I16" s="36">
        <v>59244</v>
      </c>
      <c r="J16" s="36">
        <v>2465</v>
      </c>
      <c r="K16" s="36">
        <v>0</v>
      </c>
      <c r="L16" s="4"/>
    </row>
    <row r="17" spans="1:13" ht="19.899999999999999" customHeight="1" x14ac:dyDescent="0.2">
      <c r="A17" s="84"/>
      <c r="B17" s="79"/>
      <c r="C17" s="21" t="s">
        <v>10</v>
      </c>
      <c r="D17" s="14">
        <v>0</v>
      </c>
      <c r="E17" s="15">
        <v>0</v>
      </c>
      <c r="F17" s="15"/>
      <c r="G17" s="15"/>
      <c r="H17" s="35">
        <f t="shared" si="0"/>
        <v>76055</v>
      </c>
      <c r="I17" s="36">
        <f>2720+73335</f>
        <v>76055</v>
      </c>
      <c r="J17" s="36">
        <v>0</v>
      </c>
      <c r="K17" s="36">
        <v>0</v>
      </c>
      <c r="L17" s="4" t="e">
        <f>H17+#REF!+#REF!+#REF!+#REF!</f>
        <v>#REF!</v>
      </c>
    </row>
    <row r="18" spans="1:13" ht="18" customHeight="1" x14ac:dyDescent="0.2">
      <c r="A18" s="84">
        <v>2</v>
      </c>
      <c r="B18" s="79" t="s">
        <v>24</v>
      </c>
      <c r="C18" s="21"/>
      <c r="D18" s="12">
        <f>E18+G18</f>
        <v>1174592</v>
      </c>
      <c r="E18" s="13">
        <f>SUM(E19:E25)</f>
        <v>310132</v>
      </c>
      <c r="F18" s="13">
        <f>SUM(F19:F25)</f>
        <v>20273</v>
      </c>
      <c r="G18" s="13">
        <f>SUM(G19:G25)</f>
        <v>864460</v>
      </c>
      <c r="H18" s="37">
        <f t="shared" si="0"/>
        <v>1942839</v>
      </c>
      <c r="I18" s="39">
        <f>SUM(I19:I25)</f>
        <v>307320</v>
      </c>
      <c r="J18" s="39">
        <f>SUM(J19:J25)</f>
        <v>9871</v>
      </c>
      <c r="K18" s="39">
        <f>SUM(K19:K25)</f>
        <v>1635519</v>
      </c>
    </row>
    <row r="19" spans="1:13" ht="18" customHeight="1" x14ac:dyDescent="0.2">
      <c r="A19" s="84"/>
      <c r="B19" s="79"/>
      <c r="C19" s="21" t="s">
        <v>3</v>
      </c>
      <c r="D19" s="14">
        <f>E19+G19</f>
        <v>43102</v>
      </c>
      <c r="E19" s="15">
        <v>43102</v>
      </c>
      <c r="F19" s="15">
        <v>20273</v>
      </c>
      <c r="G19" s="15"/>
      <c r="H19" s="35">
        <f t="shared" si="0"/>
        <v>498574</v>
      </c>
      <c r="I19" s="36">
        <f>15000+50000+2000+900</f>
        <v>67900</v>
      </c>
      <c r="J19" s="36">
        <v>0</v>
      </c>
      <c r="K19" s="36">
        <f>22810+60700+47200+23000+2740+1710+29710+42004+100000+100000+800</f>
        <v>430674</v>
      </c>
    </row>
    <row r="20" spans="1:13" ht="18" customHeight="1" x14ac:dyDescent="0.2">
      <c r="A20" s="84"/>
      <c r="B20" s="79"/>
      <c r="C20" s="21" t="s">
        <v>8</v>
      </c>
      <c r="D20" s="14">
        <f t="shared" ref="D20:D28" si="2">E20+G20</f>
        <v>267030</v>
      </c>
      <c r="E20" s="15">
        <v>267030</v>
      </c>
      <c r="F20" s="15">
        <v>0</v>
      </c>
      <c r="G20" s="15">
        <v>0</v>
      </c>
      <c r="H20" s="35">
        <f t="shared" ref="H20:H29" si="3">I20+K20</f>
        <v>201000</v>
      </c>
      <c r="I20" s="36">
        <v>201000</v>
      </c>
      <c r="J20" s="36">
        <v>0</v>
      </c>
      <c r="K20" s="36">
        <v>0</v>
      </c>
    </row>
    <row r="21" spans="1:13" ht="18" customHeight="1" x14ac:dyDescent="0.2">
      <c r="A21" s="84"/>
      <c r="B21" s="79"/>
      <c r="C21" s="21" t="s">
        <v>9</v>
      </c>
      <c r="D21" s="14">
        <f t="shared" si="2"/>
        <v>217215</v>
      </c>
      <c r="E21" s="15"/>
      <c r="F21" s="15"/>
      <c r="G21" s="15">
        <v>217215</v>
      </c>
      <c r="H21" s="35">
        <f t="shared" si="3"/>
        <v>965000</v>
      </c>
      <c r="I21" s="36">
        <v>0</v>
      </c>
      <c r="J21" s="36">
        <v>0</v>
      </c>
      <c r="K21" s="36">
        <v>965000</v>
      </c>
    </row>
    <row r="22" spans="1:13" ht="18" customHeight="1" x14ac:dyDescent="0.2">
      <c r="A22" s="84"/>
      <c r="B22" s="79"/>
      <c r="C22" s="21" t="s">
        <v>77</v>
      </c>
      <c r="D22" s="14"/>
      <c r="E22" s="15"/>
      <c r="F22" s="15"/>
      <c r="G22" s="15"/>
      <c r="H22" s="35">
        <f t="shared" ref="H22:H23" si="4">I22+K22</f>
        <v>262118</v>
      </c>
      <c r="I22" s="36">
        <f>348+130+3270+62+16+3476+30683</f>
        <v>37985</v>
      </c>
      <c r="J22" s="36">
        <f>2464+3415+3580</f>
        <v>9459</v>
      </c>
      <c r="K22" s="36">
        <f>30485+65282+371+68730+1640+3380+8418+45827</f>
        <v>224133</v>
      </c>
    </row>
    <row r="23" spans="1:13" ht="18" customHeight="1" x14ac:dyDescent="0.2">
      <c r="A23" s="84"/>
      <c r="B23" s="79"/>
      <c r="C23" s="21" t="s">
        <v>85</v>
      </c>
      <c r="D23" s="14"/>
      <c r="E23" s="15"/>
      <c r="F23" s="15"/>
      <c r="G23" s="15"/>
      <c r="H23" s="35">
        <f t="shared" si="4"/>
        <v>7132</v>
      </c>
      <c r="I23" s="36">
        <f>12+6+2+415</f>
        <v>435</v>
      </c>
      <c r="J23" s="36">
        <v>412</v>
      </c>
      <c r="K23" s="36">
        <f>5380+1317</f>
        <v>6697</v>
      </c>
    </row>
    <row r="24" spans="1:13" ht="18" customHeight="1" x14ac:dyDescent="0.2">
      <c r="A24" s="84"/>
      <c r="B24" s="79"/>
      <c r="C24" s="21" t="s">
        <v>11</v>
      </c>
      <c r="D24" s="14"/>
      <c r="E24" s="15"/>
      <c r="F24" s="15"/>
      <c r="G24" s="15"/>
      <c r="H24" s="35">
        <f t="shared" ref="H24" si="5">I24+K24</f>
        <v>9015</v>
      </c>
      <c r="I24" s="36">
        <f>18208-18208</f>
        <v>0</v>
      </c>
      <c r="J24" s="36">
        <v>0</v>
      </c>
      <c r="K24" s="36">
        <v>9015</v>
      </c>
    </row>
    <row r="25" spans="1:13" ht="18" hidden="1" customHeight="1" x14ac:dyDescent="0.2">
      <c r="A25" s="84"/>
      <c r="B25" s="79"/>
      <c r="C25" s="21" t="s">
        <v>7</v>
      </c>
      <c r="D25" s="14">
        <f t="shared" si="2"/>
        <v>647245</v>
      </c>
      <c r="E25" s="15"/>
      <c r="F25" s="15"/>
      <c r="G25" s="15">
        <v>647245</v>
      </c>
      <c r="H25" s="35">
        <f t="shared" si="3"/>
        <v>0</v>
      </c>
      <c r="I25" s="36">
        <v>0</v>
      </c>
      <c r="J25" s="36">
        <v>0</v>
      </c>
      <c r="K25" s="36"/>
    </row>
    <row r="26" spans="1:13" ht="19.899999999999999" customHeight="1" x14ac:dyDescent="0.2">
      <c r="A26" s="84">
        <v>3</v>
      </c>
      <c r="B26" s="79" t="s">
        <v>25</v>
      </c>
      <c r="C26" s="21"/>
      <c r="D26" s="12">
        <f t="shared" si="2"/>
        <v>1115861</v>
      </c>
      <c r="E26" s="13">
        <f>SUM(E27:E30)</f>
        <v>1112994</v>
      </c>
      <c r="F26" s="13">
        <f>SUM(F27:F30)</f>
        <v>41155</v>
      </c>
      <c r="G26" s="13">
        <f>SUM(G27:G30)</f>
        <v>2867</v>
      </c>
      <c r="H26" s="37">
        <f t="shared" si="3"/>
        <v>1577803</v>
      </c>
      <c r="I26" s="39">
        <f>SUM(I27:I30)</f>
        <v>1505853</v>
      </c>
      <c r="J26" s="39">
        <f>SUM(J27:J30)</f>
        <v>144900</v>
      </c>
      <c r="K26" s="39">
        <f>SUM(K27:K30)</f>
        <v>71950</v>
      </c>
    </row>
    <row r="27" spans="1:13" ht="19.899999999999999" customHeight="1" x14ac:dyDescent="0.2">
      <c r="A27" s="84"/>
      <c r="B27" s="79"/>
      <c r="C27" s="21" t="s">
        <v>3</v>
      </c>
      <c r="D27" s="14">
        <f t="shared" si="2"/>
        <v>750091</v>
      </c>
      <c r="E27" s="15">
        <v>747224</v>
      </c>
      <c r="F27" s="15">
        <v>39351</v>
      </c>
      <c r="G27" s="15">
        <v>2867</v>
      </c>
      <c r="H27" s="35">
        <f t="shared" si="3"/>
        <v>1050273</v>
      </c>
      <c r="I27" s="36">
        <f>90000+50000+212740+20000+144000+16480+14553+5000+170000+25000+190550+40000</f>
        <v>978323</v>
      </c>
      <c r="J27" s="36">
        <f>16100+128800</f>
        <v>144900</v>
      </c>
      <c r="K27" s="36">
        <f>20000+27000+24950</f>
        <v>71950</v>
      </c>
    </row>
    <row r="28" spans="1:13" ht="19.899999999999999" customHeight="1" x14ac:dyDescent="0.2">
      <c r="A28" s="84"/>
      <c r="B28" s="79"/>
      <c r="C28" s="21" t="s">
        <v>6</v>
      </c>
      <c r="D28" s="14">
        <f t="shared" si="2"/>
        <v>355298</v>
      </c>
      <c r="E28" s="15">
        <v>355298</v>
      </c>
      <c r="F28" s="15"/>
      <c r="G28" s="15"/>
      <c r="H28" s="35">
        <f t="shared" si="3"/>
        <v>508283</v>
      </c>
      <c r="I28" s="36">
        <f>410000+22948+75335</f>
        <v>508283</v>
      </c>
      <c r="J28" s="36">
        <v>0</v>
      </c>
      <c r="K28" s="36">
        <v>0</v>
      </c>
    </row>
    <row r="29" spans="1:13" ht="19.899999999999999" hidden="1" customHeight="1" x14ac:dyDescent="0.2">
      <c r="A29" s="84"/>
      <c r="B29" s="79"/>
      <c r="C29" s="21" t="s">
        <v>11</v>
      </c>
      <c r="D29" s="14"/>
      <c r="E29" s="15"/>
      <c r="F29" s="15"/>
      <c r="G29" s="15"/>
      <c r="H29" s="35">
        <f t="shared" si="3"/>
        <v>0</v>
      </c>
      <c r="I29" s="36"/>
      <c r="J29" s="36">
        <v>0</v>
      </c>
      <c r="K29" s="36"/>
    </row>
    <row r="30" spans="1:13" ht="19.899999999999999" customHeight="1" x14ac:dyDescent="0.2">
      <c r="A30" s="84"/>
      <c r="B30" s="79"/>
      <c r="C30" s="21" t="s">
        <v>5</v>
      </c>
      <c r="D30" s="14">
        <f t="shared" ref="D30:D50" si="6">E30+G30</f>
        <v>10472</v>
      </c>
      <c r="E30" s="15">
        <v>10472</v>
      </c>
      <c r="F30" s="15">
        <v>1804</v>
      </c>
      <c r="G30" s="15"/>
      <c r="H30" s="35">
        <f t="shared" ref="H30:H50" si="7">I30+K30</f>
        <v>19247</v>
      </c>
      <c r="I30" s="36">
        <f>2321+16926</f>
        <v>19247</v>
      </c>
      <c r="J30" s="36">
        <v>0</v>
      </c>
      <c r="K30" s="36">
        <v>0</v>
      </c>
    </row>
    <row r="31" spans="1:13" ht="18" customHeight="1" x14ac:dyDescent="0.2">
      <c r="A31" s="84">
        <v>4</v>
      </c>
      <c r="B31" s="79" t="s">
        <v>26</v>
      </c>
      <c r="C31" s="21"/>
      <c r="D31" s="12">
        <f t="shared" si="6"/>
        <v>657397</v>
      </c>
      <c r="E31" s="13">
        <f>SUM(E32:E36)</f>
        <v>653169</v>
      </c>
      <c r="F31" s="13">
        <f>SUM(F32:F36)</f>
        <v>166095</v>
      </c>
      <c r="G31" s="13">
        <f>SUM(G32:G36)</f>
        <v>4228</v>
      </c>
      <c r="H31" s="37">
        <f t="shared" si="7"/>
        <v>1017796</v>
      </c>
      <c r="I31" s="39">
        <f>SUM(I32:I36)</f>
        <v>1017796</v>
      </c>
      <c r="J31" s="39">
        <f>SUM(J32:J36)</f>
        <v>246100</v>
      </c>
      <c r="K31" s="39">
        <f>SUM(K32:K36)</f>
        <v>0</v>
      </c>
    </row>
    <row r="32" spans="1:13" ht="18" customHeight="1" x14ac:dyDescent="0.2">
      <c r="A32" s="84"/>
      <c r="B32" s="79"/>
      <c r="C32" s="21" t="s">
        <v>3</v>
      </c>
      <c r="D32" s="14">
        <f t="shared" si="6"/>
        <v>528324</v>
      </c>
      <c r="E32" s="15">
        <v>524096</v>
      </c>
      <c r="F32" s="15">
        <v>87205</v>
      </c>
      <c r="G32" s="15">
        <v>4228</v>
      </c>
      <c r="H32" s="35">
        <f t="shared" si="7"/>
        <v>578050</v>
      </c>
      <c r="I32" s="36">
        <f>13000+2000+220000+13000+3000+550+24000+13000+24750+23000+4300+95700+138750+3000</f>
        <v>578050</v>
      </c>
      <c r="J32" s="36">
        <f>85500+127300</f>
        <v>212800</v>
      </c>
      <c r="K32" s="36">
        <v>0</v>
      </c>
      <c r="M32" s="66"/>
    </row>
    <row r="33" spans="1:11" ht="18" customHeight="1" x14ac:dyDescent="0.2">
      <c r="A33" s="84"/>
      <c r="B33" s="79"/>
      <c r="C33" s="21" t="s">
        <v>8</v>
      </c>
      <c r="D33" s="14">
        <f t="shared" si="6"/>
        <v>119869</v>
      </c>
      <c r="E33" s="15">
        <v>119869</v>
      </c>
      <c r="F33" s="15">
        <v>78890</v>
      </c>
      <c r="G33" s="15"/>
      <c r="H33" s="35">
        <f t="shared" si="7"/>
        <v>306620</v>
      </c>
      <c r="I33" s="36">
        <f>5500+75800+48700+31600+2500+12200+3500+120400+6420</f>
        <v>306620</v>
      </c>
      <c r="J33" s="36">
        <f>5420+2260+12030+3450+6300</f>
        <v>29460</v>
      </c>
      <c r="K33" s="36">
        <v>0</v>
      </c>
    </row>
    <row r="34" spans="1:11" ht="18" customHeight="1" x14ac:dyDescent="0.2">
      <c r="A34" s="84"/>
      <c r="B34" s="79"/>
      <c r="C34" s="21" t="s">
        <v>11</v>
      </c>
      <c r="D34" s="14"/>
      <c r="E34" s="15"/>
      <c r="F34" s="15"/>
      <c r="G34" s="15"/>
      <c r="H34" s="35">
        <f t="shared" ref="H34" si="8">I34+K34</f>
        <v>87900</v>
      </c>
      <c r="I34" s="36">
        <f>84000+3900</f>
        <v>87900</v>
      </c>
      <c r="J34" s="36">
        <v>3840</v>
      </c>
      <c r="K34" s="36">
        <v>0</v>
      </c>
    </row>
    <row r="35" spans="1:11" ht="18" customHeight="1" x14ac:dyDescent="0.2">
      <c r="A35" s="84"/>
      <c r="B35" s="79"/>
      <c r="C35" s="21" t="s">
        <v>5</v>
      </c>
      <c r="D35" s="14">
        <f t="shared" si="6"/>
        <v>0</v>
      </c>
      <c r="E35" s="15"/>
      <c r="F35" s="15"/>
      <c r="G35" s="15"/>
      <c r="H35" s="35">
        <f t="shared" si="7"/>
        <v>23597</v>
      </c>
      <c r="I35" s="36">
        <v>23597</v>
      </c>
      <c r="J35" s="36">
        <v>0</v>
      </c>
      <c r="K35" s="36">
        <v>0</v>
      </c>
    </row>
    <row r="36" spans="1:11" ht="18" customHeight="1" x14ac:dyDescent="0.2">
      <c r="A36" s="84"/>
      <c r="B36" s="79"/>
      <c r="C36" s="21" t="s">
        <v>6</v>
      </c>
      <c r="D36" s="14">
        <f t="shared" si="6"/>
        <v>9204</v>
      </c>
      <c r="E36" s="15">
        <v>9204</v>
      </c>
      <c r="F36" s="15"/>
      <c r="G36" s="15"/>
      <c r="H36" s="35">
        <f t="shared" si="7"/>
        <v>21629</v>
      </c>
      <c r="I36" s="36">
        <v>21629</v>
      </c>
      <c r="J36" s="36">
        <v>0</v>
      </c>
      <c r="K36" s="36">
        <v>0</v>
      </c>
    </row>
    <row r="37" spans="1:11" ht="19.899999999999999" customHeight="1" x14ac:dyDescent="0.2">
      <c r="A37" s="85">
        <v>5</v>
      </c>
      <c r="B37" s="79" t="s">
        <v>27</v>
      </c>
      <c r="C37" s="21"/>
      <c r="D37" s="12">
        <f t="shared" si="6"/>
        <v>1595252</v>
      </c>
      <c r="E37" s="13">
        <f>SUM(E38:E42)</f>
        <v>1588716</v>
      </c>
      <c r="F37" s="13">
        <f>SUM(F38:F42)</f>
        <v>838627</v>
      </c>
      <c r="G37" s="13">
        <f>SUM(G38:G42)</f>
        <v>6536</v>
      </c>
      <c r="H37" s="37">
        <f t="shared" si="7"/>
        <v>2547107</v>
      </c>
      <c r="I37" s="39">
        <f>SUM(I38:I42)</f>
        <v>2511107</v>
      </c>
      <c r="J37" s="39">
        <f>SUM(J38:J42)</f>
        <v>1921467</v>
      </c>
      <c r="K37" s="39">
        <f>SUM(K38:K42)</f>
        <v>36000</v>
      </c>
    </row>
    <row r="38" spans="1:11" ht="19.899999999999999" customHeight="1" x14ac:dyDescent="0.2">
      <c r="A38" s="86"/>
      <c r="B38" s="79"/>
      <c r="C38" s="21" t="s">
        <v>3</v>
      </c>
      <c r="D38" s="14">
        <f t="shared" si="6"/>
        <v>1256325</v>
      </c>
      <c r="E38" s="15">
        <f>1118421+131368</f>
        <v>1249789</v>
      </c>
      <c r="F38" s="15">
        <f>649999+43467</f>
        <v>693466</v>
      </c>
      <c r="G38" s="15">
        <v>6536</v>
      </c>
      <c r="H38" s="35">
        <f t="shared" si="7"/>
        <v>2148890</v>
      </c>
      <c r="I38" s="36">
        <f>148000+5000+1191100+262280+10000+5500+300+2000+30000+40000+700+23500+30000+18940+7000+22000+2500+91930+225140-3000</f>
        <v>2112890</v>
      </c>
      <c r="J38" s="36">
        <f>74800+1043000+214100+23200+16700+83300+207100</f>
        <v>1662200</v>
      </c>
      <c r="K38" s="36">
        <f>20000+10000+6000</f>
        <v>36000</v>
      </c>
    </row>
    <row r="39" spans="1:11" ht="19.899999999999999" customHeight="1" x14ac:dyDescent="0.2">
      <c r="A39" s="86"/>
      <c r="B39" s="79"/>
      <c r="C39" s="21" t="s">
        <v>8</v>
      </c>
      <c r="D39" s="14">
        <f t="shared" si="6"/>
        <v>316088</v>
      </c>
      <c r="E39" s="15">
        <v>316088</v>
      </c>
      <c r="F39" s="15">
        <v>145161</v>
      </c>
      <c r="G39" s="15"/>
      <c r="H39" s="35">
        <f t="shared" si="7"/>
        <v>365182</v>
      </c>
      <c r="I39" s="36">
        <f>28500+300+300+15900+8240+20700+3200+9100+15000+5000+86800+3842+150200+18100</f>
        <v>365182</v>
      </c>
      <c r="J39" s="36">
        <f>23200+295+295+13700+8122+20400+3155+8000+11000+4030+15900+3670+130200+17300</f>
        <v>259267</v>
      </c>
      <c r="K39" s="36">
        <v>0</v>
      </c>
    </row>
    <row r="40" spans="1:11" ht="19.899999999999999" hidden="1" customHeight="1" x14ac:dyDescent="0.2">
      <c r="A40" s="86"/>
      <c r="B40" s="79"/>
      <c r="C40" s="21" t="s">
        <v>11</v>
      </c>
      <c r="D40" s="14"/>
      <c r="E40" s="15"/>
      <c r="F40" s="15"/>
      <c r="G40" s="15"/>
      <c r="H40" s="35">
        <f t="shared" ref="H40" si="9">I40+K40</f>
        <v>0</v>
      </c>
      <c r="I40" s="36"/>
      <c r="J40" s="36"/>
      <c r="K40" s="36"/>
    </row>
    <row r="41" spans="1:11" ht="19.899999999999999" hidden="1" customHeight="1" x14ac:dyDescent="0.2">
      <c r="A41" s="86"/>
      <c r="B41" s="79"/>
      <c r="C41" s="21" t="s">
        <v>77</v>
      </c>
      <c r="D41" s="14"/>
      <c r="E41" s="15"/>
      <c r="F41" s="15"/>
      <c r="G41" s="15"/>
      <c r="H41" s="35">
        <f t="shared" ref="H41" si="10">I41+K41</f>
        <v>0</v>
      </c>
      <c r="I41" s="36"/>
      <c r="J41" s="36"/>
      <c r="K41" s="36"/>
    </row>
    <row r="42" spans="1:11" ht="19.899999999999999" customHeight="1" x14ac:dyDescent="0.2">
      <c r="A42" s="86"/>
      <c r="B42" s="79"/>
      <c r="C42" s="21" t="s">
        <v>5</v>
      </c>
      <c r="D42" s="14">
        <f t="shared" si="6"/>
        <v>22839</v>
      </c>
      <c r="E42" s="15">
        <v>22839</v>
      </c>
      <c r="F42" s="15"/>
      <c r="G42" s="15"/>
      <c r="H42" s="35">
        <f t="shared" si="7"/>
        <v>33035</v>
      </c>
      <c r="I42" s="36">
        <v>33035</v>
      </c>
      <c r="J42" s="36">
        <v>0</v>
      </c>
      <c r="K42" s="36">
        <v>0</v>
      </c>
    </row>
    <row r="43" spans="1:11" ht="34.9" customHeight="1" x14ac:dyDescent="0.2">
      <c r="A43" s="86"/>
      <c r="B43" s="58" t="s">
        <v>75</v>
      </c>
      <c r="C43" s="21" t="s">
        <v>3</v>
      </c>
      <c r="D43" s="14"/>
      <c r="E43" s="15"/>
      <c r="F43" s="15"/>
      <c r="G43" s="15"/>
      <c r="H43" s="35">
        <f t="shared" si="7"/>
        <v>10000</v>
      </c>
      <c r="I43" s="36">
        <v>10000</v>
      </c>
      <c r="J43" s="36">
        <v>0</v>
      </c>
      <c r="K43" s="36">
        <v>0</v>
      </c>
    </row>
    <row r="44" spans="1:11" ht="32.450000000000003" customHeight="1" x14ac:dyDescent="0.2">
      <c r="A44" s="87"/>
      <c r="B44" s="6" t="s">
        <v>76</v>
      </c>
      <c r="C44" s="21" t="s">
        <v>3</v>
      </c>
      <c r="D44" s="14">
        <f t="shared" si="6"/>
        <v>131368</v>
      </c>
      <c r="E44" s="15">
        <v>131368</v>
      </c>
      <c r="F44" s="15">
        <v>43467</v>
      </c>
      <c r="G44" s="15"/>
      <c r="H44" s="35">
        <f t="shared" si="7"/>
        <v>148000</v>
      </c>
      <c r="I44" s="36">
        <v>148000</v>
      </c>
      <c r="J44" s="36">
        <v>74800</v>
      </c>
      <c r="K44" s="36">
        <v>0</v>
      </c>
    </row>
    <row r="45" spans="1:11" ht="32.450000000000003" customHeight="1" x14ac:dyDescent="0.2">
      <c r="A45" s="77"/>
      <c r="B45" s="6" t="s">
        <v>96</v>
      </c>
      <c r="C45" s="21" t="s">
        <v>3</v>
      </c>
      <c r="D45" s="14">
        <f t="shared" ref="D45" si="11">E45+G45</f>
        <v>131368</v>
      </c>
      <c r="E45" s="15">
        <v>131368</v>
      </c>
      <c r="F45" s="15">
        <v>43467</v>
      </c>
      <c r="G45" s="15"/>
      <c r="H45" s="35">
        <f t="shared" ref="H45" si="12">I45+K45</f>
        <v>20000</v>
      </c>
      <c r="I45" s="36">
        <v>0</v>
      </c>
      <c r="J45" s="36">
        <v>0</v>
      </c>
      <c r="K45" s="36">
        <v>20000</v>
      </c>
    </row>
    <row r="46" spans="1:11" ht="30" customHeight="1" x14ac:dyDescent="0.2">
      <c r="A46" s="80" t="s">
        <v>39</v>
      </c>
      <c r="B46" s="80"/>
      <c r="C46" s="81"/>
      <c r="D46" s="11">
        <f t="shared" si="6"/>
        <v>1564638</v>
      </c>
      <c r="E46" s="11">
        <f>E47</f>
        <v>1564638</v>
      </c>
      <c r="F46" s="11">
        <f>F47</f>
        <v>0</v>
      </c>
      <c r="G46" s="11">
        <f>G47</f>
        <v>0</v>
      </c>
      <c r="H46" s="38">
        <f t="shared" si="7"/>
        <v>1297830</v>
      </c>
      <c r="I46" s="38">
        <f>I47</f>
        <v>1297830</v>
      </c>
      <c r="J46" s="38">
        <f>J47</f>
        <v>0</v>
      </c>
      <c r="K46" s="38">
        <f>K47</f>
        <v>0</v>
      </c>
    </row>
    <row r="47" spans="1:11" ht="18" hidden="1" customHeight="1" x14ac:dyDescent="0.2">
      <c r="A47" s="82"/>
      <c r="B47" s="82"/>
      <c r="C47" s="83"/>
      <c r="D47" s="12">
        <f t="shared" si="6"/>
        <v>1564638</v>
      </c>
      <c r="E47" s="13">
        <f>SUBTOTAL(9,E48:E50)</f>
        <v>1564638</v>
      </c>
      <c r="F47" s="13">
        <f>SUBTOTAL(9,F48:F50)</f>
        <v>0</v>
      </c>
      <c r="G47" s="13">
        <f>SUBTOTAL(9,G48:G50)</f>
        <v>0</v>
      </c>
      <c r="H47" s="26">
        <f t="shared" si="7"/>
        <v>1297830</v>
      </c>
      <c r="I47" s="18">
        <f>SUBTOTAL(9,I48:I50)</f>
        <v>1297830</v>
      </c>
      <c r="J47" s="18">
        <f>SUBTOTAL(9,J48:J50)</f>
        <v>0</v>
      </c>
      <c r="K47" s="18">
        <f>SUBTOTAL(9,K48:K50)</f>
        <v>0</v>
      </c>
    </row>
    <row r="48" spans="1:11" ht="18" customHeight="1" x14ac:dyDescent="0.2">
      <c r="A48" s="84">
        <v>4</v>
      </c>
      <c r="B48" s="84" t="s">
        <v>26</v>
      </c>
      <c r="C48" s="21" t="s">
        <v>3</v>
      </c>
      <c r="D48" s="14">
        <f t="shared" si="6"/>
        <v>1052822</v>
      </c>
      <c r="E48" s="15">
        <v>1052822</v>
      </c>
      <c r="F48" s="15"/>
      <c r="G48" s="15"/>
      <c r="H48" s="35">
        <f t="shared" si="7"/>
        <v>879350</v>
      </c>
      <c r="I48" s="36">
        <f>6000+62000+50000+7500+190000+3000+530000+350+28000+500+2000</f>
        <v>879350</v>
      </c>
      <c r="J48" s="36">
        <v>0</v>
      </c>
      <c r="K48" s="36">
        <v>0</v>
      </c>
    </row>
    <row r="49" spans="1:11" ht="18" hidden="1" customHeight="1" x14ac:dyDescent="0.2">
      <c r="A49" s="84"/>
      <c r="B49" s="84"/>
      <c r="C49" s="21" t="s">
        <v>11</v>
      </c>
      <c r="D49" s="14"/>
      <c r="E49" s="15"/>
      <c r="F49" s="15"/>
      <c r="G49" s="15"/>
      <c r="H49" s="35">
        <f t="shared" ref="H49" si="13">I49+K49</f>
        <v>0</v>
      </c>
      <c r="I49" s="36"/>
      <c r="J49" s="36">
        <v>0</v>
      </c>
      <c r="K49" s="36">
        <v>0</v>
      </c>
    </row>
    <row r="50" spans="1:11" ht="21" customHeight="1" x14ac:dyDescent="0.2">
      <c r="A50" s="84"/>
      <c r="B50" s="84"/>
      <c r="C50" s="21" t="s">
        <v>8</v>
      </c>
      <c r="D50" s="14">
        <f t="shared" si="6"/>
        <v>511816</v>
      </c>
      <c r="E50" s="15">
        <v>511816</v>
      </c>
      <c r="F50" s="15"/>
      <c r="G50" s="15"/>
      <c r="H50" s="35">
        <f t="shared" si="7"/>
        <v>418480</v>
      </c>
      <c r="I50" s="36">
        <f>259200+121640+35500+80+2060</f>
        <v>418480</v>
      </c>
      <c r="J50" s="36">
        <v>0</v>
      </c>
      <c r="K50" s="36">
        <v>0</v>
      </c>
    </row>
    <row r="51" spans="1:11" ht="25.9" customHeight="1" x14ac:dyDescent="0.2">
      <c r="A51" s="80" t="s">
        <v>43</v>
      </c>
      <c r="B51" s="80"/>
      <c r="C51" s="81"/>
      <c r="D51" s="11">
        <f>E51+G51</f>
        <v>422237</v>
      </c>
      <c r="E51" s="11">
        <f>E52</f>
        <v>421559</v>
      </c>
      <c r="F51" s="11">
        <f>F52</f>
        <v>277626</v>
      </c>
      <c r="G51" s="11">
        <f>G52</f>
        <v>678</v>
      </c>
      <c r="H51" s="38">
        <f t="shared" ref="H51:H56" si="14">I51+K51</f>
        <v>677750</v>
      </c>
      <c r="I51" s="38">
        <f>I52</f>
        <v>677750</v>
      </c>
      <c r="J51" s="38">
        <f>J52</f>
        <v>633890</v>
      </c>
      <c r="K51" s="38">
        <f>K52</f>
        <v>0</v>
      </c>
    </row>
    <row r="52" spans="1:11" ht="15" hidden="1" customHeight="1" x14ac:dyDescent="0.2">
      <c r="A52" s="82"/>
      <c r="B52" s="82"/>
      <c r="C52" s="83"/>
      <c r="D52" s="12">
        <f>E52+G52</f>
        <v>422237</v>
      </c>
      <c r="E52" s="13">
        <f>SUBTOTAL(9,E53:E56)</f>
        <v>421559</v>
      </c>
      <c r="F52" s="13">
        <f>SUBTOTAL(9,F53:F56)</f>
        <v>277626</v>
      </c>
      <c r="G52" s="13">
        <f>SUBTOTAL(9,G53:G56)</f>
        <v>678</v>
      </c>
      <c r="H52" s="37">
        <f t="shared" si="14"/>
        <v>677750</v>
      </c>
      <c r="I52" s="40">
        <f>SUBTOTAL(9,I53:I56)</f>
        <v>677750</v>
      </c>
      <c r="J52" s="40">
        <f>SUBTOTAL(9,J53:J56)</f>
        <v>633890</v>
      </c>
      <c r="K52" s="40">
        <f>SUBTOTAL(9,K53:K56)</f>
        <v>0</v>
      </c>
    </row>
    <row r="53" spans="1:11" ht="18" customHeight="1" x14ac:dyDescent="0.2">
      <c r="A53" s="84">
        <v>5</v>
      </c>
      <c r="B53" s="88" t="s">
        <v>27</v>
      </c>
      <c r="C53" s="21" t="s">
        <v>3</v>
      </c>
      <c r="D53" s="14">
        <f>E53+G53</f>
        <v>17956</v>
      </c>
      <c r="E53" s="15">
        <v>17956</v>
      </c>
      <c r="F53" s="15">
        <v>13052</v>
      </c>
      <c r="G53" s="15"/>
      <c r="H53" s="35">
        <f t="shared" si="14"/>
        <v>11650</v>
      </c>
      <c r="I53" s="36">
        <v>11650</v>
      </c>
      <c r="J53" s="36">
        <v>8450</v>
      </c>
      <c r="K53" s="36">
        <v>0</v>
      </c>
    </row>
    <row r="54" spans="1:11" ht="18" customHeight="1" x14ac:dyDescent="0.2">
      <c r="A54" s="84"/>
      <c r="B54" s="89"/>
      <c r="C54" s="21" t="s">
        <v>8</v>
      </c>
      <c r="D54" s="14">
        <f>E54+G54</f>
        <v>403862</v>
      </c>
      <c r="E54" s="15">
        <v>403184</v>
      </c>
      <c r="F54" s="15">
        <v>264574</v>
      </c>
      <c r="G54" s="15">
        <v>678</v>
      </c>
      <c r="H54" s="35">
        <f t="shared" si="14"/>
        <v>666100</v>
      </c>
      <c r="I54" s="36">
        <v>666100</v>
      </c>
      <c r="J54" s="36">
        <v>625440</v>
      </c>
      <c r="K54" s="36"/>
    </row>
    <row r="55" spans="1:11" ht="18" hidden="1" customHeight="1" x14ac:dyDescent="0.2">
      <c r="A55" s="84"/>
      <c r="B55" s="89"/>
      <c r="C55" s="21" t="s">
        <v>11</v>
      </c>
      <c r="D55" s="14"/>
      <c r="E55" s="15"/>
      <c r="F55" s="15"/>
      <c r="G55" s="15"/>
      <c r="H55" s="35">
        <f t="shared" si="14"/>
        <v>0</v>
      </c>
      <c r="I55" s="36"/>
      <c r="J55" s="36">
        <v>0</v>
      </c>
      <c r="K55" s="36">
        <v>0</v>
      </c>
    </row>
    <row r="56" spans="1:11" ht="16.5" hidden="1" customHeight="1" x14ac:dyDescent="0.2">
      <c r="A56" s="84"/>
      <c r="B56" s="90"/>
      <c r="C56" s="21" t="s">
        <v>5</v>
      </c>
      <c r="D56" s="14">
        <f>E56+G56</f>
        <v>419</v>
      </c>
      <c r="E56" s="15">
        <v>419</v>
      </c>
      <c r="F56" s="15"/>
      <c r="G56" s="15"/>
      <c r="H56" s="35">
        <f t="shared" si="14"/>
        <v>0</v>
      </c>
      <c r="I56" s="36"/>
      <c r="J56" s="36"/>
      <c r="K56" s="36">
        <v>0</v>
      </c>
    </row>
    <row r="57" spans="1:11" s="5" customFormat="1" ht="16.5" hidden="1" customHeight="1" x14ac:dyDescent="0.2">
      <c r="A57" s="61"/>
      <c r="B57" s="61"/>
      <c r="C57" s="21"/>
      <c r="D57" s="12"/>
      <c r="E57" s="16"/>
      <c r="F57" s="16"/>
      <c r="G57" s="16"/>
      <c r="H57" s="37"/>
      <c r="I57" s="36"/>
      <c r="J57" s="36"/>
      <c r="K57" s="36"/>
    </row>
    <row r="58" spans="1:11" ht="24" customHeight="1" x14ac:dyDescent="0.2">
      <c r="A58" s="80" t="s">
        <v>44</v>
      </c>
      <c r="B58" s="80"/>
      <c r="C58" s="81"/>
      <c r="D58" s="11">
        <f>E58+G58</f>
        <v>393410</v>
      </c>
      <c r="E58" s="11">
        <f>E59+E60+E66</f>
        <v>391385</v>
      </c>
      <c r="F58" s="11">
        <f>F59+F60+F66</f>
        <v>222121</v>
      </c>
      <c r="G58" s="11">
        <f>G59+G60+G66</f>
        <v>2025</v>
      </c>
      <c r="H58" s="38">
        <f>I58+K58</f>
        <v>805456</v>
      </c>
      <c r="I58" s="38">
        <f>I59+I60+I66</f>
        <v>804256</v>
      </c>
      <c r="J58" s="38">
        <f>J59+J60+J66</f>
        <v>577100</v>
      </c>
      <c r="K58" s="38">
        <f>K59+K60+K66</f>
        <v>1200</v>
      </c>
    </row>
    <row r="59" spans="1:11" ht="27" hidden="1" customHeight="1" x14ac:dyDescent="0.2">
      <c r="A59" s="61">
        <v>2</v>
      </c>
      <c r="B59" s="62" t="s">
        <v>24</v>
      </c>
      <c r="C59" s="21" t="s">
        <v>9</v>
      </c>
      <c r="D59" s="12">
        <f t="shared" ref="D59:D83" si="15">E59+G59</f>
        <v>0</v>
      </c>
      <c r="E59" s="16"/>
      <c r="F59" s="16"/>
      <c r="G59" s="16"/>
      <c r="H59" s="37">
        <f t="shared" ref="H59:H83" si="16">I59+K59</f>
        <v>0</v>
      </c>
      <c r="I59" s="36"/>
      <c r="J59" s="36"/>
      <c r="K59" s="36"/>
    </row>
    <row r="60" spans="1:11" ht="18" customHeight="1" x14ac:dyDescent="0.2">
      <c r="A60" s="85">
        <v>1</v>
      </c>
      <c r="B60" s="88" t="s">
        <v>78</v>
      </c>
      <c r="C60" s="21"/>
      <c r="D60" s="12">
        <f t="shared" si="15"/>
        <v>389797</v>
      </c>
      <c r="E60" s="13">
        <f>SUM(E61:E65)</f>
        <v>387772</v>
      </c>
      <c r="F60" s="13">
        <f>SUM(F61:F65)</f>
        <v>222121</v>
      </c>
      <c r="G60" s="13">
        <f>SUM(G61:G65)</f>
        <v>2025</v>
      </c>
      <c r="H60" s="37">
        <f t="shared" si="16"/>
        <v>805456</v>
      </c>
      <c r="I60" s="39">
        <f>SUM(I61:I65)</f>
        <v>804256</v>
      </c>
      <c r="J60" s="39">
        <f>SUM(J61:J65)</f>
        <v>577100</v>
      </c>
      <c r="K60" s="39">
        <f>SUM(K61:K65)</f>
        <v>1200</v>
      </c>
    </row>
    <row r="61" spans="1:11" ht="18" customHeight="1" x14ac:dyDescent="0.2">
      <c r="A61" s="86"/>
      <c r="B61" s="94"/>
      <c r="C61" s="21" t="s">
        <v>3</v>
      </c>
      <c r="D61" s="14">
        <f t="shared" si="15"/>
        <v>378718</v>
      </c>
      <c r="E61" s="15">
        <f>356820+20320</f>
        <v>377140</v>
      </c>
      <c r="F61" s="15">
        <f>206162+15495</f>
        <v>221657</v>
      </c>
      <c r="G61" s="15">
        <v>1578</v>
      </c>
      <c r="H61" s="35">
        <f t="shared" si="16"/>
        <v>714650</v>
      </c>
      <c r="I61" s="48">
        <f>25000+688450</f>
        <v>713450</v>
      </c>
      <c r="J61" s="36">
        <v>564450</v>
      </c>
      <c r="K61" s="36">
        <v>1200</v>
      </c>
    </row>
    <row r="62" spans="1:11" ht="18" hidden="1" customHeight="1" x14ac:dyDescent="0.2">
      <c r="A62" s="86"/>
      <c r="B62" s="94"/>
      <c r="C62" s="21" t="s">
        <v>10</v>
      </c>
      <c r="D62" s="14">
        <f t="shared" si="15"/>
        <v>0</v>
      </c>
      <c r="E62" s="15"/>
      <c r="F62" s="15"/>
      <c r="G62" s="15"/>
      <c r="H62" s="35">
        <f t="shared" si="16"/>
        <v>0</v>
      </c>
      <c r="I62" s="36"/>
      <c r="J62" s="36"/>
      <c r="K62" s="36"/>
    </row>
    <row r="63" spans="1:11" ht="18" customHeight="1" x14ac:dyDescent="0.2">
      <c r="A63" s="86"/>
      <c r="B63" s="94"/>
      <c r="C63" s="21" t="s">
        <v>77</v>
      </c>
      <c r="D63" s="14"/>
      <c r="E63" s="15"/>
      <c r="F63" s="15"/>
      <c r="G63" s="15"/>
      <c r="H63" s="35">
        <f t="shared" si="16"/>
        <v>1222</v>
      </c>
      <c r="I63" s="48">
        <v>1222</v>
      </c>
      <c r="J63" s="36">
        <v>0</v>
      </c>
      <c r="K63" s="36">
        <v>0</v>
      </c>
    </row>
    <row r="64" spans="1:11" ht="18" customHeight="1" x14ac:dyDescent="0.2">
      <c r="A64" s="86"/>
      <c r="B64" s="94"/>
      <c r="C64" s="21" t="s">
        <v>11</v>
      </c>
      <c r="D64" s="14"/>
      <c r="E64" s="15"/>
      <c r="F64" s="15"/>
      <c r="G64" s="15"/>
      <c r="H64" s="50">
        <f t="shared" ref="H64" si="17">I64+K64</f>
        <v>27346</v>
      </c>
      <c r="I64" s="48">
        <f>9790+17556</f>
        <v>27346</v>
      </c>
      <c r="J64" s="48">
        <v>9650</v>
      </c>
      <c r="K64" s="36">
        <v>0</v>
      </c>
    </row>
    <row r="65" spans="1:11" ht="18" customHeight="1" x14ac:dyDescent="0.2">
      <c r="A65" s="87"/>
      <c r="B65" s="95"/>
      <c r="C65" s="21" t="s">
        <v>5</v>
      </c>
      <c r="D65" s="14">
        <f t="shared" si="15"/>
        <v>11079</v>
      </c>
      <c r="E65" s="15">
        <v>10632</v>
      </c>
      <c r="F65" s="15">
        <v>464</v>
      </c>
      <c r="G65" s="15">
        <v>447</v>
      </c>
      <c r="H65" s="50">
        <f t="shared" si="16"/>
        <v>62238</v>
      </c>
      <c r="I65" s="48">
        <v>62238</v>
      </c>
      <c r="J65" s="48">
        <v>3000</v>
      </c>
      <c r="K65" s="36">
        <v>0</v>
      </c>
    </row>
    <row r="66" spans="1:11" ht="30" hidden="1" customHeight="1" x14ac:dyDescent="0.2">
      <c r="A66" s="61">
        <v>5</v>
      </c>
      <c r="B66" s="62" t="s">
        <v>27</v>
      </c>
      <c r="C66" s="21" t="s">
        <v>8</v>
      </c>
      <c r="D66" s="12">
        <f t="shared" si="15"/>
        <v>3613</v>
      </c>
      <c r="E66" s="13">
        <v>3613</v>
      </c>
      <c r="F66" s="16"/>
      <c r="G66" s="16"/>
      <c r="H66" s="51">
        <f t="shared" si="16"/>
        <v>0</v>
      </c>
      <c r="I66" s="52"/>
      <c r="J66" s="52">
        <v>0</v>
      </c>
      <c r="K66" s="39">
        <v>0</v>
      </c>
    </row>
    <row r="67" spans="1:11" ht="24" customHeight="1" x14ac:dyDescent="0.2">
      <c r="A67" s="80" t="s">
        <v>45</v>
      </c>
      <c r="B67" s="80"/>
      <c r="C67" s="81"/>
      <c r="D67" s="11">
        <f t="shared" si="15"/>
        <v>327684</v>
      </c>
      <c r="E67" s="11">
        <f>E68+E74</f>
        <v>327684</v>
      </c>
      <c r="F67" s="11">
        <f>F68+F74</f>
        <v>215186</v>
      </c>
      <c r="G67" s="11">
        <f>G68+G74</f>
        <v>0</v>
      </c>
      <c r="H67" s="47">
        <f t="shared" si="16"/>
        <v>593214</v>
      </c>
      <c r="I67" s="47">
        <f>I68+I74+I75</f>
        <v>574137</v>
      </c>
      <c r="J67" s="47">
        <f t="shared" ref="J67:K67" si="18">J68+J74+J75</f>
        <v>497000</v>
      </c>
      <c r="K67" s="47">
        <f t="shared" si="18"/>
        <v>19077</v>
      </c>
    </row>
    <row r="68" spans="1:11" ht="18" customHeight="1" x14ac:dyDescent="0.2">
      <c r="A68" s="84">
        <v>1</v>
      </c>
      <c r="B68" s="88" t="s">
        <v>78</v>
      </c>
      <c r="C68" s="23"/>
      <c r="D68" s="12">
        <f t="shared" si="15"/>
        <v>325886</v>
      </c>
      <c r="E68" s="13">
        <f>E69+E70+E73</f>
        <v>325886</v>
      </c>
      <c r="F68" s="13">
        <f>SUBTOTAL(9,F69:F74)</f>
        <v>215186</v>
      </c>
      <c r="G68" s="13">
        <f>SUBTOTAL(9,G69:G74)</f>
        <v>0</v>
      </c>
      <c r="H68" s="51">
        <f t="shared" si="16"/>
        <v>588214</v>
      </c>
      <c r="I68" s="52">
        <f>I69+I70+I73+I71+I72</f>
        <v>569137</v>
      </c>
      <c r="J68" s="52">
        <f t="shared" ref="J68:K68" si="19">J69+J70+J73+J71+J72</f>
        <v>497000</v>
      </c>
      <c r="K68" s="39">
        <f t="shared" si="19"/>
        <v>19077</v>
      </c>
    </row>
    <row r="69" spans="1:11" ht="18" customHeight="1" x14ac:dyDescent="0.2">
      <c r="A69" s="84"/>
      <c r="B69" s="89"/>
      <c r="C69" s="21" t="s">
        <v>3</v>
      </c>
      <c r="D69" s="14">
        <f t="shared" si="15"/>
        <v>324578</v>
      </c>
      <c r="E69" s="15">
        <f>305608+18970</f>
        <v>324578</v>
      </c>
      <c r="F69" s="15">
        <f>200705+14481</f>
        <v>215186</v>
      </c>
      <c r="G69" s="15"/>
      <c r="H69" s="50">
        <f t="shared" si="16"/>
        <v>557500</v>
      </c>
      <c r="I69" s="48">
        <v>557500</v>
      </c>
      <c r="J69" s="48">
        <v>488300</v>
      </c>
      <c r="K69" s="36">
        <v>0</v>
      </c>
    </row>
    <row r="70" spans="1:11" ht="18" hidden="1" customHeight="1" x14ac:dyDescent="0.2">
      <c r="A70" s="84"/>
      <c r="B70" s="89"/>
      <c r="C70" s="21" t="s">
        <v>10</v>
      </c>
      <c r="D70" s="14">
        <f t="shared" si="15"/>
        <v>0</v>
      </c>
      <c r="E70" s="15"/>
      <c r="F70" s="15"/>
      <c r="G70" s="15"/>
      <c r="H70" s="50">
        <f t="shared" si="16"/>
        <v>0</v>
      </c>
      <c r="I70" s="48"/>
      <c r="J70" s="48"/>
      <c r="K70" s="36"/>
    </row>
    <row r="71" spans="1:11" ht="18" customHeight="1" x14ac:dyDescent="0.2">
      <c r="A71" s="84"/>
      <c r="B71" s="89"/>
      <c r="C71" s="21" t="s">
        <v>77</v>
      </c>
      <c r="D71" s="14"/>
      <c r="E71" s="15"/>
      <c r="F71" s="15"/>
      <c r="G71" s="15"/>
      <c r="H71" s="50">
        <f t="shared" si="16"/>
        <v>156</v>
      </c>
      <c r="I71" s="48">
        <v>156</v>
      </c>
      <c r="J71" s="48">
        <v>0</v>
      </c>
      <c r="K71" s="36">
        <v>0</v>
      </c>
    </row>
    <row r="72" spans="1:11" ht="18" customHeight="1" x14ac:dyDescent="0.2">
      <c r="A72" s="84"/>
      <c r="B72" s="89"/>
      <c r="C72" s="21" t="s">
        <v>11</v>
      </c>
      <c r="D72" s="14"/>
      <c r="E72" s="15"/>
      <c r="F72" s="15"/>
      <c r="G72" s="15"/>
      <c r="H72" s="50">
        <f t="shared" si="16"/>
        <v>28958</v>
      </c>
      <c r="I72" s="48">
        <f>8825+1056</f>
        <v>9881</v>
      </c>
      <c r="J72" s="48">
        <v>8700</v>
      </c>
      <c r="K72" s="36">
        <v>19077</v>
      </c>
    </row>
    <row r="73" spans="1:11" ht="18" customHeight="1" x14ac:dyDescent="0.2">
      <c r="A73" s="84"/>
      <c r="B73" s="90"/>
      <c r="C73" s="21" t="s">
        <v>5</v>
      </c>
      <c r="D73" s="14">
        <f t="shared" si="15"/>
        <v>1308</v>
      </c>
      <c r="E73" s="15">
        <v>1308</v>
      </c>
      <c r="F73" s="15"/>
      <c r="G73" s="15"/>
      <c r="H73" s="50">
        <f t="shared" si="16"/>
        <v>1600</v>
      </c>
      <c r="I73" s="48">
        <v>1600</v>
      </c>
      <c r="J73" s="48">
        <v>0</v>
      </c>
      <c r="K73" s="36">
        <v>0</v>
      </c>
    </row>
    <row r="74" spans="1:11" ht="30" hidden="1" customHeight="1" x14ac:dyDescent="0.2">
      <c r="A74" s="61">
        <v>5</v>
      </c>
      <c r="B74" s="62" t="s">
        <v>27</v>
      </c>
      <c r="C74" s="21" t="s">
        <v>8</v>
      </c>
      <c r="D74" s="12">
        <f t="shared" si="15"/>
        <v>1798</v>
      </c>
      <c r="E74" s="13">
        <v>1798</v>
      </c>
      <c r="F74" s="16"/>
      <c r="G74" s="16"/>
      <c r="H74" s="51">
        <f t="shared" si="16"/>
        <v>0</v>
      </c>
      <c r="I74" s="52">
        <v>0</v>
      </c>
      <c r="J74" s="52">
        <v>0</v>
      </c>
      <c r="K74" s="39">
        <v>0</v>
      </c>
    </row>
    <row r="75" spans="1:11" ht="30" customHeight="1" x14ac:dyDescent="0.2">
      <c r="A75" s="76">
        <v>2</v>
      </c>
      <c r="B75" s="78" t="s">
        <v>24</v>
      </c>
      <c r="C75" s="21" t="s">
        <v>3</v>
      </c>
      <c r="D75" s="12">
        <f t="shared" ref="D75" si="20">E75+G75</f>
        <v>1799</v>
      </c>
      <c r="E75" s="13">
        <v>1799</v>
      </c>
      <c r="F75" s="16"/>
      <c r="G75" s="16"/>
      <c r="H75" s="51">
        <f t="shared" ref="H75" si="21">I75+K75</f>
        <v>5000</v>
      </c>
      <c r="I75" s="52">
        <v>5000</v>
      </c>
      <c r="J75" s="52">
        <v>0</v>
      </c>
      <c r="K75" s="39">
        <v>0</v>
      </c>
    </row>
    <row r="76" spans="1:11" ht="25.15" customHeight="1" x14ac:dyDescent="0.2">
      <c r="A76" s="80" t="s">
        <v>13</v>
      </c>
      <c r="B76" s="80"/>
      <c r="C76" s="81"/>
      <c r="D76" s="11">
        <f t="shared" si="15"/>
        <v>539683</v>
      </c>
      <c r="E76" s="11">
        <f>E78+E83</f>
        <v>539683</v>
      </c>
      <c r="F76" s="11">
        <f>F78</f>
        <v>300273</v>
      </c>
      <c r="G76" s="11">
        <f>G78+G83</f>
        <v>0</v>
      </c>
      <c r="H76" s="47">
        <f t="shared" si="16"/>
        <v>1444650</v>
      </c>
      <c r="I76" s="47">
        <f>I78+I83</f>
        <v>1444650</v>
      </c>
      <c r="J76" s="47">
        <f>J78</f>
        <v>1206925</v>
      </c>
      <c r="K76" s="38">
        <f>K78+K83</f>
        <v>0</v>
      </c>
    </row>
    <row r="77" spans="1:11" ht="15" hidden="1" customHeight="1" x14ac:dyDescent="0.2">
      <c r="A77" s="82"/>
      <c r="B77" s="82"/>
      <c r="C77" s="83"/>
      <c r="D77" s="12">
        <f t="shared" si="15"/>
        <v>539683</v>
      </c>
      <c r="E77" s="13">
        <f>E78+E83</f>
        <v>539683</v>
      </c>
      <c r="F77" s="13">
        <f>SUBTOTAL(9,F78:F83)</f>
        <v>600546</v>
      </c>
      <c r="G77" s="13">
        <f>SUBTOTAL(9,G78:G83)</f>
        <v>0</v>
      </c>
      <c r="H77" s="51">
        <f t="shared" si="16"/>
        <v>1444650</v>
      </c>
      <c r="I77" s="52">
        <f>I78+I83</f>
        <v>1444650</v>
      </c>
      <c r="J77" s="52">
        <f>SUBTOTAL(9,J78:J83)</f>
        <v>2413850</v>
      </c>
      <c r="K77" s="39">
        <f>SUBTOTAL(9,K78:K83)</f>
        <v>0</v>
      </c>
    </row>
    <row r="78" spans="1:11" ht="18" customHeight="1" x14ac:dyDescent="0.2">
      <c r="A78" s="84">
        <v>4</v>
      </c>
      <c r="B78" s="79" t="s">
        <v>26</v>
      </c>
      <c r="C78" s="21"/>
      <c r="D78" s="12">
        <f t="shared" si="15"/>
        <v>536796</v>
      </c>
      <c r="E78" s="13">
        <f>E79+E80+E82</f>
        <v>536796</v>
      </c>
      <c r="F78" s="13">
        <f>F79+F80+F82</f>
        <v>300273</v>
      </c>
      <c r="G78" s="13">
        <f>G79+G80+G82</f>
        <v>0</v>
      </c>
      <c r="H78" s="51">
        <f t="shared" si="16"/>
        <v>1444650</v>
      </c>
      <c r="I78" s="52">
        <f>I79+I80+I82+I81</f>
        <v>1444650</v>
      </c>
      <c r="J78" s="52">
        <f>J79+J80+J82+J81</f>
        <v>1206925</v>
      </c>
      <c r="K78" s="39">
        <f>K79+K80+K82</f>
        <v>0</v>
      </c>
    </row>
    <row r="79" spans="1:11" ht="18" customHeight="1" x14ac:dyDescent="0.2">
      <c r="A79" s="84"/>
      <c r="B79" s="79"/>
      <c r="C79" s="21" t="s">
        <v>3</v>
      </c>
      <c r="D79" s="14">
        <f t="shared" si="15"/>
        <v>256057</v>
      </c>
      <c r="E79" s="15">
        <v>256057</v>
      </c>
      <c r="F79" s="15">
        <v>171658</v>
      </c>
      <c r="G79" s="15"/>
      <c r="H79" s="50">
        <f t="shared" si="16"/>
        <v>799650</v>
      </c>
      <c r="I79" s="48">
        <f>3000+2260+231200+4000+51060+12000+29020+52650+379220+35240</f>
        <v>799650</v>
      </c>
      <c r="J79" s="48">
        <f>210500+14060+25650+41100+360740+24900</f>
        <v>676950</v>
      </c>
      <c r="K79" s="36">
        <v>0</v>
      </c>
    </row>
    <row r="80" spans="1:11" ht="18" customHeight="1" x14ac:dyDescent="0.2">
      <c r="A80" s="84"/>
      <c r="B80" s="79"/>
      <c r="C80" s="21" t="s">
        <v>8</v>
      </c>
      <c r="D80" s="14">
        <f t="shared" si="15"/>
        <v>168414</v>
      </c>
      <c r="E80" s="15">
        <v>168414</v>
      </c>
      <c r="F80" s="15">
        <v>113265</v>
      </c>
      <c r="G80" s="15"/>
      <c r="H80" s="50">
        <f t="shared" si="16"/>
        <v>486600</v>
      </c>
      <c r="I80" s="48">
        <f>148600+338000</f>
        <v>486600</v>
      </c>
      <c r="J80" s="48">
        <f>146475+325200</f>
        <v>471675</v>
      </c>
      <c r="K80" s="36">
        <v>0</v>
      </c>
    </row>
    <row r="81" spans="1:11" ht="18" customHeight="1" x14ac:dyDescent="0.2">
      <c r="A81" s="84"/>
      <c r="B81" s="79"/>
      <c r="C81" s="21" t="s">
        <v>11</v>
      </c>
      <c r="D81" s="14"/>
      <c r="E81" s="15"/>
      <c r="F81" s="15"/>
      <c r="G81" s="15"/>
      <c r="H81" s="50">
        <f t="shared" ref="H81" si="22">I81+K81</f>
        <v>14300</v>
      </c>
      <c r="I81" s="48">
        <v>14300</v>
      </c>
      <c r="J81" s="48">
        <v>14100</v>
      </c>
      <c r="K81" s="36">
        <v>0</v>
      </c>
    </row>
    <row r="82" spans="1:11" ht="18" customHeight="1" x14ac:dyDescent="0.2">
      <c r="A82" s="84"/>
      <c r="B82" s="79"/>
      <c r="C82" s="21" t="s">
        <v>5</v>
      </c>
      <c r="D82" s="14">
        <f t="shared" si="15"/>
        <v>112325</v>
      </c>
      <c r="E82" s="15">
        <v>112325</v>
      </c>
      <c r="F82" s="15">
        <v>15350</v>
      </c>
      <c r="G82" s="15"/>
      <c r="H82" s="50">
        <f t="shared" si="16"/>
        <v>144100</v>
      </c>
      <c r="I82" s="48">
        <f>102600+41500</f>
        <v>144100</v>
      </c>
      <c r="J82" s="48">
        <f>20700+23500</f>
        <v>44200</v>
      </c>
      <c r="K82" s="36">
        <v>0</v>
      </c>
    </row>
    <row r="83" spans="1:11" ht="30" hidden="1" customHeight="1" x14ac:dyDescent="0.2">
      <c r="A83" s="61">
        <v>5</v>
      </c>
      <c r="B83" s="62" t="s">
        <v>27</v>
      </c>
      <c r="C83" s="21" t="s">
        <v>8</v>
      </c>
      <c r="D83" s="12">
        <f t="shared" si="15"/>
        <v>2887</v>
      </c>
      <c r="E83" s="13">
        <v>2887</v>
      </c>
      <c r="F83" s="16"/>
      <c r="G83" s="16"/>
      <c r="H83" s="51">
        <f t="shared" si="16"/>
        <v>0</v>
      </c>
      <c r="I83" s="52"/>
      <c r="J83" s="52">
        <v>0</v>
      </c>
      <c r="K83" s="39">
        <v>0</v>
      </c>
    </row>
    <row r="84" spans="1:11" ht="30" customHeight="1" x14ac:dyDescent="0.2">
      <c r="A84" s="80" t="s">
        <v>40</v>
      </c>
      <c r="B84" s="80"/>
      <c r="C84" s="81"/>
      <c r="D84" s="11">
        <f t="shared" ref="D84:D97" si="23">E84+G84</f>
        <v>912640</v>
      </c>
      <c r="E84" s="11">
        <f>E86+E88</f>
        <v>103975</v>
      </c>
      <c r="F84" s="11"/>
      <c r="G84" s="11">
        <f>G86+G88</f>
        <v>808665</v>
      </c>
      <c r="H84" s="47">
        <f t="shared" ref="H84:H98" si="24">I84+K84</f>
        <v>751220</v>
      </c>
      <c r="I84" s="47">
        <f>I86+I88+I87</f>
        <v>143240</v>
      </c>
      <c r="J84" s="47">
        <v>0</v>
      </c>
      <c r="K84" s="38">
        <f>K86+K88+K87</f>
        <v>607980</v>
      </c>
    </row>
    <row r="85" spans="1:11" ht="15" hidden="1" customHeight="1" x14ac:dyDescent="0.2">
      <c r="A85" s="61"/>
      <c r="B85" s="62"/>
      <c r="C85" s="21"/>
      <c r="D85" s="12">
        <f t="shared" si="23"/>
        <v>1070359</v>
      </c>
      <c r="E85" s="13">
        <f>SUBTOTAL(9,E86:E88)</f>
        <v>207950</v>
      </c>
      <c r="F85" s="13">
        <f>SUBTOTAL(9,F86:F88)</f>
        <v>0</v>
      </c>
      <c r="G85" s="13">
        <f>SUBTOTAL(9,G86:G88)</f>
        <v>862409</v>
      </c>
      <c r="H85" s="51">
        <f t="shared" si="24"/>
        <v>751220</v>
      </c>
      <c r="I85" s="52">
        <f>SUBTOTAL(9,I86:I88)</f>
        <v>143240</v>
      </c>
      <c r="J85" s="52">
        <f>SUBTOTAL(9,J86:J88)</f>
        <v>0</v>
      </c>
      <c r="K85" s="39">
        <f>SUBTOTAL(9,K86:K88)</f>
        <v>607980</v>
      </c>
    </row>
    <row r="86" spans="1:11" ht="18" customHeight="1" x14ac:dyDescent="0.2">
      <c r="A86" s="84">
        <v>5</v>
      </c>
      <c r="B86" s="79" t="s">
        <v>27</v>
      </c>
      <c r="C86" s="21" t="s">
        <v>3</v>
      </c>
      <c r="D86" s="14">
        <f t="shared" si="23"/>
        <v>157719</v>
      </c>
      <c r="E86" s="15">
        <v>103975</v>
      </c>
      <c r="F86" s="15"/>
      <c r="G86" s="15">
        <v>53744</v>
      </c>
      <c r="H86" s="50">
        <f t="shared" si="24"/>
        <v>694320</v>
      </c>
      <c r="I86" s="48">
        <f>32340+53400+600</f>
        <v>86340</v>
      </c>
      <c r="J86" s="48">
        <v>0</v>
      </c>
      <c r="K86" s="36">
        <v>607980</v>
      </c>
    </row>
    <row r="87" spans="1:11" ht="18" hidden="1" customHeight="1" x14ac:dyDescent="0.2">
      <c r="A87" s="84"/>
      <c r="B87" s="79"/>
      <c r="C87" s="21" t="s">
        <v>11</v>
      </c>
      <c r="D87" s="14">
        <f t="shared" ref="D87" si="25">E87+G87</f>
        <v>157719</v>
      </c>
      <c r="E87" s="15">
        <v>103975</v>
      </c>
      <c r="F87" s="15"/>
      <c r="G87" s="15">
        <v>53744</v>
      </c>
      <c r="H87" s="50">
        <f t="shared" ref="H87" si="26">I87+K87</f>
        <v>0</v>
      </c>
      <c r="I87" s="48">
        <v>0</v>
      </c>
      <c r="J87" s="48">
        <v>0</v>
      </c>
      <c r="K87" s="36"/>
    </row>
    <row r="88" spans="1:11" ht="18" customHeight="1" x14ac:dyDescent="0.2">
      <c r="A88" s="84"/>
      <c r="B88" s="79"/>
      <c r="C88" s="21" t="s">
        <v>8</v>
      </c>
      <c r="D88" s="14">
        <f t="shared" si="23"/>
        <v>754921</v>
      </c>
      <c r="E88" s="15"/>
      <c r="F88" s="15"/>
      <c r="G88" s="15">
        <v>754921</v>
      </c>
      <c r="H88" s="50">
        <f t="shared" si="24"/>
        <v>56900</v>
      </c>
      <c r="I88" s="48">
        <v>56900</v>
      </c>
      <c r="J88" s="48">
        <v>0</v>
      </c>
      <c r="K88" s="36">
        <v>0</v>
      </c>
    </row>
    <row r="89" spans="1:11" ht="23.45" customHeight="1" x14ac:dyDescent="0.2">
      <c r="A89" s="80" t="s">
        <v>41</v>
      </c>
      <c r="B89" s="80"/>
      <c r="C89" s="81"/>
      <c r="D89" s="11">
        <f t="shared" si="23"/>
        <v>393348</v>
      </c>
      <c r="E89" s="11">
        <f>E91+E100+E102</f>
        <v>393348</v>
      </c>
      <c r="F89" s="11">
        <f>F91+F100+F102</f>
        <v>245449</v>
      </c>
      <c r="G89" s="11">
        <f>G91+G100+G102</f>
        <v>0</v>
      </c>
      <c r="H89" s="47">
        <f t="shared" si="24"/>
        <v>778515</v>
      </c>
      <c r="I89" s="47">
        <f>I91+I100+I102</f>
        <v>777525</v>
      </c>
      <c r="J89" s="47">
        <f>J91+J100+J102</f>
        <v>634850</v>
      </c>
      <c r="K89" s="38">
        <f>K91+K100+K102+K98</f>
        <v>990</v>
      </c>
    </row>
    <row r="90" spans="1:11" ht="15" hidden="1" customHeight="1" x14ac:dyDescent="0.2">
      <c r="A90" s="82"/>
      <c r="B90" s="82"/>
      <c r="C90" s="83"/>
      <c r="D90" s="12">
        <f t="shared" si="23"/>
        <v>0</v>
      </c>
      <c r="E90" s="13"/>
      <c r="F90" s="13"/>
      <c r="G90" s="13"/>
      <c r="H90" s="51">
        <f t="shared" si="24"/>
        <v>0</v>
      </c>
      <c r="I90" s="52"/>
      <c r="J90" s="52"/>
      <c r="K90" s="39"/>
    </row>
    <row r="91" spans="1:11" ht="18" customHeight="1" x14ac:dyDescent="0.2">
      <c r="A91" s="84">
        <v>1</v>
      </c>
      <c r="B91" s="79" t="s">
        <v>78</v>
      </c>
      <c r="C91" s="21"/>
      <c r="D91" s="12">
        <f t="shared" si="23"/>
        <v>366591</v>
      </c>
      <c r="E91" s="13">
        <f>E92+E94+E93+E95+E96+E97</f>
        <v>366591</v>
      </c>
      <c r="F91" s="13">
        <f>F92+F94+F93+F95+F96+F97</f>
        <v>229029</v>
      </c>
      <c r="G91" s="13">
        <f>G92+G94+G93+G95+G96+G97</f>
        <v>0</v>
      </c>
      <c r="H91" s="51">
        <f t="shared" si="24"/>
        <v>773015</v>
      </c>
      <c r="I91" s="52">
        <f>I92+I94+I93+I95+I96+I97</f>
        <v>772025</v>
      </c>
      <c r="J91" s="52">
        <f>J92+J94+J93+J95+J96+J97</f>
        <v>634850</v>
      </c>
      <c r="K91" s="39">
        <f>K92+K94+K93+K95+K96+K97</f>
        <v>990</v>
      </c>
    </row>
    <row r="92" spans="1:11" ht="18" customHeight="1" x14ac:dyDescent="0.2">
      <c r="A92" s="84"/>
      <c r="B92" s="79"/>
      <c r="C92" s="21" t="s">
        <v>3</v>
      </c>
      <c r="D92" s="14">
        <f t="shared" si="23"/>
        <v>190833</v>
      </c>
      <c r="E92" s="15">
        <v>190833</v>
      </c>
      <c r="F92" s="15">
        <v>127433</v>
      </c>
      <c r="G92" s="15"/>
      <c r="H92" s="50">
        <f t="shared" si="24"/>
        <v>386490</v>
      </c>
      <c r="I92" s="48">
        <v>385500</v>
      </c>
      <c r="J92" s="48">
        <v>316600</v>
      </c>
      <c r="K92" s="36">
        <v>990</v>
      </c>
    </row>
    <row r="93" spans="1:11" ht="18" hidden="1" customHeight="1" x14ac:dyDescent="0.2">
      <c r="A93" s="84"/>
      <c r="B93" s="79"/>
      <c r="C93" s="21" t="s">
        <v>4</v>
      </c>
      <c r="D93" s="14">
        <f t="shared" si="23"/>
        <v>0</v>
      </c>
      <c r="E93" s="15"/>
      <c r="F93" s="15"/>
      <c r="G93" s="15"/>
      <c r="H93" s="50">
        <f>I93+K93</f>
        <v>0</v>
      </c>
      <c r="I93" s="48"/>
      <c r="J93" s="48"/>
      <c r="K93" s="36"/>
    </row>
    <row r="94" spans="1:11" ht="18" customHeight="1" x14ac:dyDescent="0.2">
      <c r="A94" s="84"/>
      <c r="B94" s="79"/>
      <c r="C94" s="21" t="s">
        <v>10</v>
      </c>
      <c r="D94" s="14">
        <f t="shared" si="23"/>
        <v>119051</v>
      </c>
      <c r="E94" s="15">
        <v>119051</v>
      </c>
      <c r="F94" s="15">
        <v>88230</v>
      </c>
      <c r="G94" s="15"/>
      <c r="H94" s="50">
        <f t="shared" si="24"/>
        <v>299425</v>
      </c>
      <c r="I94" s="48">
        <v>299425</v>
      </c>
      <c r="J94" s="48">
        <v>290675</v>
      </c>
      <c r="K94" s="36">
        <v>0</v>
      </c>
    </row>
    <row r="95" spans="1:11" ht="18" customHeight="1" x14ac:dyDescent="0.2">
      <c r="A95" s="84"/>
      <c r="B95" s="79"/>
      <c r="C95" s="21" t="s">
        <v>5</v>
      </c>
      <c r="D95" s="14">
        <f t="shared" si="23"/>
        <v>25776</v>
      </c>
      <c r="E95" s="15">
        <v>25776</v>
      </c>
      <c r="F95" s="15"/>
      <c r="G95" s="15"/>
      <c r="H95" s="50">
        <f t="shared" si="24"/>
        <v>43860</v>
      </c>
      <c r="I95" s="48">
        <v>43860</v>
      </c>
      <c r="J95" s="48">
        <v>95</v>
      </c>
      <c r="K95" s="36">
        <v>0</v>
      </c>
    </row>
    <row r="96" spans="1:11" ht="18" hidden="1" customHeight="1" x14ac:dyDescent="0.2">
      <c r="A96" s="84"/>
      <c r="B96" s="79"/>
      <c r="C96" s="21" t="s">
        <v>5</v>
      </c>
      <c r="D96" s="14">
        <f t="shared" si="23"/>
        <v>0</v>
      </c>
      <c r="E96" s="15"/>
      <c r="F96" s="15"/>
      <c r="G96" s="15"/>
      <c r="H96" s="55">
        <f t="shared" si="24"/>
        <v>0</v>
      </c>
      <c r="I96" s="49"/>
      <c r="J96" s="49"/>
      <c r="K96" s="15"/>
    </row>
    <row r="97" spans="1:11" ht="18" customHeight="1" x14ac:dyDescent="0.2">
      <c r="A97" s="84"/>
      <c r="B97" s="79"/>
      <c r="C97" s="21" t="s">
        <v>11</v>
      </c>
      <c r="D97" s="14">
        <f t="shared" si="23"/>
        <v>30931</v>
      </c>
      <c r="E97" s="15">
        <v>30931</v>
      </c>
      <c r="F97" s="15">
        <v>13366</v>
      </c>
      <c r="G97" s="15"/>
      <c r="H97" s="50">
        <f t="shared" si="24"/>
        <v>43240</v>
      </c>
      <c r="I97" s="48">
        <v>43240</v>
      </c>
      <c r="J97" s="48">
        <v>27480</v>
      </c>
      <c r="K97" s="15">
        <v>0</v>
      </c>
    </row>
    <row r="98" spans="1:11" ht="30" hidden="1" customHeight="1" x14ac:dyDescent="0.2">
      <c r="A98" s="74">
        <v>2</v>
      </c>
      <c r="B98" s="75" t="s">
        <v>24</v>
      </c>
      <c r="C98" s="21" t="s">
        <v>3</v>
      </c>
      <c r="D98" s="14"/>
      <c r="E98" s="15"/>
      <c r="F98" s="15"/>
      <c r="G98" s="15"/>
      <c r="H98" s="51">
        <f t="shared" si="24"/>
        <v>0</v>
      </c>
      <c r="I98" s="52">
        <v>0</v>
      </c>
      <c r="J98" s="52">
        <v>0</v>
      </c>
      <c r="K98" s="18"/>
    </row>
    <row r="99" spans="1:11" ht="14.25" hidden="1" customHeight="1" x14ac:dyDescent="0.2">
      <c r="A99" s="84">
        <v>4</v>
      </c>
      <c r="B99" s="88" t="s">
        <v>26</v>
      </c>
      <c r="C99" s="22"/>
      <c r="D99" s="17"/>
      <c r="E99" s="17"/>
      <c r="F99" s="17"/>
      <c r="G99" s="16"/>
      <c r="H99" s="56"/>
      <c r="I99" s="56"/>
      <c r="J99" s="56"/>
      <c r="K99" s="15"/>
    </row>
    <row r="100" spans="1:11" ht="30" customHeight="1" x14ac:dyDescent="0.2">
      <c r="A100" s="84"/>
      <c r="B100" s="89"/>
      <c r="C100" s="21" t="s">
        <v>8</v>
      </c>
      <c r="D100" s="12">
        <f>E100+G99</f>
        <v>26386</v>
      </c>
      <c r="E100" s="13">
        <v>26386</v>
      </c>
      <c r="F100" s="13">
        <v>16420</v>
      </c>
      <c r="G100" s="15"/>
      <c r="H100" s="51">
        <f>I100+K99</f>
        <v>5500</v>
      </c>
      <c r="I100" s="52">
        <v>5500</v>
      </c>
      <c r="J100" s="54">
        <v>0</v>
      </c>
      <c r="K100" s="18">
        <v>0</v>
      </c>
    </row>
    <row r="101" spans="1:11" ht="14.25" hidden="1" customHeight="1" x14ac:dyDescent="0.2">
      <c r="A101" s="84"/>
      <c r="B101" s="90"/>
      <c r="C101" s="21" t="s">
        <v>4</v>
      </c>
      <c r="D101" s="26"/>
      <c r="E101" s="18"/>
      <c r="F101" s="18"/>
      <c r="G101" s="15"/>
      <c r="H101" s="53"/>
      <c r="I101" s="54"/>
      <c r="J101" s="54"/>
      <c r="K101" s="10"/>
    </row>
    <row r="102" spans="1:11" ht="30" hidden="1" customHeight="1" x14ac:dyDescent="0.2">
      <c r="A102" s="61">
        <v>5</v>
      </c>
      <c r="B102" s="62" t="s">
        <v>27</v>
      </c>
      <c r="C102" s="21" t="s">
        <v>8</v>
      </c>
      <c r="D102" s="12">
        <f>E102+G102</f>
        <v>371</v>
      </c>
      <c r="E102" s="13">
        <v>371</v>
      </c>
      <c r="F102" s="13"/>
      <c r="G102" s="16"/>
      <c r="H102" s="51">
        <f>I102+K102</f>
        <v>0</v>
      </c>
      <c r="I102" s="52"/>
      <c r="J102" s="54">
        <v>0</v>
      </c>
      <c r="K102" s="18">
        <v>0</v>
      </c>
    </row>
    <row r="103" spans="1:11" ht="22.9" customHeight="1" x14ac:dyDescent="0.2">
      <c r="A103" s="80" t="s">
        <v>46</v>
      </c>
      <c r="B103" s="80"/>
      <c r="C103" s="81"/>
      <c r="D103" s="11" t="e">
        <f t="shared" ref="D103:D108" si="27">E103+G103</f>
        <v>#REF!</v>
      </c>
      <c r="E103" s="11" t="e">
        <f>E105+E112+E113</f>
        <v>#REF!</v>
      </c>
      <c r="F103" s="11" t="e">
        <f>F105+F112+F113</f>
        <v>#REF!</v>
      </c>
      <c r="G103" s="11" t="e">
        <f>G105+G112+G113</f>
        <v>#REF!</v>
      </c>
      <c r="H103" s="47">
        <f t="shared" ref="H103:H108" si="28">I103+K103</f>
        <v>444010</v>
      </c>
      <c r="I103" s="47">
        <f>I105+I112+I113+I111</f>
        <v>444010</v>
      </c>
      <c r="J103" s="47">
        <f>J105+J112+J113</f>
        <v>364550</v>
      </c>
      <c r="K103" s="38">
        <f>K105+K112+K113+K111</f>
        <v>0</v>
      </c>
    </row>
    <row r="104" spans="1:11" ht="15" hidden="1" customHeight="1" x14ac:dyDescent="0.2">
      <c r="A104" s="82"/>
      <c r="B104" s="82"/>
      <c r="C104" s="83"/>
      <c r="D104" s="27">
        <f t="shared" si="27"/>
        <v>238035</v>
      </c>
      <c r="E104" s="19">
        <f>SUBTOTAL(9,E106:E113)</f>
        <v>231255</v>
      </c>
      <c r="F104" s="19">
        <f>SUBTOTAL(9,F106:F113)</f>
        <v>134877</v>
      </c>
      <c r="G104" s="19">
        <f>SUBTOTAL(9,G106:G113)</f>
        <v>6780</v>
      </c>
      <c r="H104" s="51">
        <f t="shared" si="28"/>
        <v>444010</v>
      </c>
      <c r="I104" s="52">
        <f>SUBTOTAL(9,I106:I113)</f>
        <v>444010</v>
      </c>
      <c r="J104" s="52">
        <f>SUBTOTAL(9,J106:J113)</f>
        <v>364550</v>
      </c>
      <c r="K104" s="18">
        <f>SUBTOTAL(9,K106:K113)</f>
        <v>0</v>
      </c>
    </row>
    <row r="105" spans="1:11" ht="18" customHeight="1" x14ac:dyDescent="0.2">
      <c r="A105" s="84">
        <v>1</v>
      </c>
      <c r="B105" s="88" t="s">
        <v>78</v>
      </c>
      <c r="C105" s="22"/>
      <c r="D105" s="13" t="e">
        <f t="shared" si="27"/>
        <v>#REF!</v>
      </c>
      <c r="E105" s="13" t="e">
        <f>E106+E108+E107+E110+#REF!</f>
        <v>#REF!</v>
      </c>
      <c r="F105" s="13" t="e">
        <f>F106+F108+F107+F110+#REF!</f>
        <v>#REF!</v>
      </c>
      <c r="G105" s="13" t="e">
        <f>G106+G108+G107+G110+#REF!</f>
        <v>#REF!</v>
      </c>
      <c r="H105" s="52">
        <f t="shared" si="28"/>
        <v>439210</v>
      </c>
      <c r="I105" s="52">
        <f>I106+I108+I107+I110++I109</f>
        <v>439210</v>
      </c>
      <c r="J105" s="52">
        <f t="shared" ref="J105:K105" si="29">J106+J108+J107+J110++J109</f>
        <v>364550</v>
      </c>
      <c r="K105" s="52">
        <f t="shared" si="29"/>
        <v>0</v>
      </c>
    </row>
    <row r="106" spans="1:11" ht="18" customHeight="1" x14ac:dyDescent="0.2">
      <c r="A106" s="84"/>
      <c r="B106" s="89"/>
      <c r="C106" s="21" t="s">
        <v>3</v>
      </c>
      <c r="D106" s="14">
        <f t="shared" si="27"/>
        <v>125855</v>
      </c>
      <c r="E106" s="15">
        <v>120063</v>
      </c>
      <c r="F106" s="15">
        <v>76749</v>
      </c>
      <c r="G106" s="15">
        <v>5792</v>
      </c>
      <c r="H106" s="50">
        <f t="shared" si="28"/>
        <v>235000</v>
      </c>
      <c r="I106" s="48">
        <v>235000</v>
      </c>
      <c r="J106" s="48">
        <v>205500</v>
      </c>
      <c r="K106" s="36">
        <v>0</v>
      </c>
    </row>
    <row r="107" spans="1:11" ht="18" hidden="1" customHeight="1" x14ac:dyDescent="0.2">
      <c r="A107" s="84"/>
      <c r="B107" s="89"/>
      <c r="C107" s="21" t="s">
        <v>4</v>
      </c>
      <c r="D107" s="14">
        <f t="shared" si="27"/>
        <v>0</v>
      </c>
      <c r="E107" s="15"/>
      <c r="F107" s="15"/>
      <c r="G107" s="15"/>
      <c r="H107" s="50">
        <f t="shared" si="28"/>
        <v>0</v>
      </c>
      <c r="I107" s="48"/>
      <c r="J107" s="48"/>
      <c r="K107" s="15"/>
    </row>
    <row r="108" spans="1:11" ht="18" customHeight="1" x14ac:dyDescent="0.2">
      <c r="A108" s="84"/>
      <c r="B108" s="89"/>
      <c r="C108" s="21" t="s">
        <v>10</v>
      </c>
      <c r="D108" s="14">
        <f t="shared" si="27"/>
        <v>79991</v>
      </c>
      <c r="E108" s="15">
        <v>79003</v>
      </c>
      <c r="F108" s="15">
        <v>58122</v>
      </c>
      <c r="G108" s="15">
        <v>988</v>
      </c>
      <c r="H108" s="50">
        <f t="shared" si="28"/>
        <v>165660</v>
      </c>
      <c r="I108" s="48">
        <v>165660</v>
      </c>
      <c r="J108" s="48">
        <v>159050</v>
      </c>
      <c r="K108" s="15">
        <v>0</v>
      </c>
    </row>
    <row r="109" spans="1:11" ht="18" hidden="1" customHeight="1" x14ac:dyDescent="0.2">
      <c r="A109" s="84"/>
      <c r="B109" s="89"/>
      <c r="C109" s="25" t="s">
        <v>11</v>
      </c>
      <c r="D109" s="17"/>
      <c r="E109" s="17"/>
      <c r="F109" s="17"/>
      <c r="G109" s="17"/>
      <c r="H109" s="50">
        <f t="shared" ref="H109" si="30">I109+K109</f>
        <v>0</v>
      </c>
      <c r="I109" s="48"/>
      <c r="J109" s="48">
        <v>0</v>
      </c>
      <c r="K109" s="41">
        <v>0</v>
      </c>
    </row>
    <row r="110" spans="1:11" ht="18" customHeight="1" x14ac:dyDescent="0.2">
      <c r="A110" s="84"/>
      <c r="B110" s="90"/>
      <c r="C110" s="21" t="s">
        <v>5</v>
      </c>
      <c r="D110" s="14">
        <f>E110+G110</f>
        <v>31694</v>
      </c>
      <c r="E110" s="15">
        <v>31694</v>
      </c>
      <c r="F110" s="15"/>
      <c r="G110" s="15"/>
      <c r="H110" s="50">
        <f>I110+K110</f>
        <v>38550</v>
      </c>
      <c r="I110" s="48">
        <v>38550</v>
      </c>
      <c r="J110" s="49">
        <v>0</v>
      </c>
      <c r="K110" s="36">
        <v>0</v>
      </c>
    </row>
    <row r="111" spans="1:11" ht="30" hidden="1" customHeight="1" x14ac:dyDescent="0.2">
      <c r="A111" s="69">
        <v>2</v>
      </c>
      <c r="B111" s="70" t="s">
        <v>24</v>
      </c>
      <c r="C111" s="21" t="s">
        <v>3</v>
      </c>
      <c r="D111" s="26"/>
      <c r="E111" s="15"/>
      <c r="F111" s="15"/>
      <c r="G111" s="15"/>
      <c r="H111" s="53">
        <f>I111+K111</f>
        <v>0</v>
      </c>
      <c r="I111" s="54"/>
      <c r="J111" s="54">
        <v>0</v>
      </c>
      <c r="K111" s="18"/>
    </row>
    <row r="112" spans="1:11" ht="30" customHeight="1" x14ac:dyDescent="0.2">
      <c r="A112" s="61">
        <v>4</v>
      </c>
      <c r="B112" s="62" t="s">
        <v>26</v>
      </c>
      <c r="C112" s="21" t="s">
        <v>8</v>
      </c>
      <c r="D112" s="12">
        <f>E112+G112</f>
        <v>495</v>
      </c>
      <c r="E112" s="13">
        <v>495</v>
      </c>
      <c r="F112" s="13">
        <v>6</v>
      </c>
      <c r="G112" s="13"/>
      <c r="H112" s="53">
        <f>I112+K112</f>
        <v>4800</v>
      </c>
      <c r="I112" s="54">
        <v>4800</v>
      </c>
      <c r="J112" s="54">
        <v>0</v>
      </c>
      <c r="K112" s="18">
        <v>0</v>
      </c>
    </row>
    <row r="113" spans="1:11" ht="30" hidden="1" customHeight="1" x14ac:dyDescent="0.2">
      <c r="A113" s="61">
        <v>5</v>
      </c>
      <c r="B113" s="62" t="s">
        <v>27</v>
      </c>
      <c r="C113" s="21" t="s">
        <v>8</v>
      </c>
      <c r="D113" s="12">
        <v>0</v>
      </c>
      <c r="E113" s="13">
        <v>0</v>
      </c>
      <c r="F113" s="13"/>
      <c r="G113" s="13"/>
      <c r="H113" s="51">
        <f>I113+K113</f>
        <v>0</v>
      </c>
      <c r="I113" s="52"/>
      <c r="J113" s="54">
        <v>0</v>
      </c>
      <c r="K113" s="18">
        <v>0</v>
      </c>
    </row>
    <row r="114" spans="1:11" ht="21" customHeight="1" x14ac:dyDescent="0.2">
      <c r="A114" s="80" t="s">
        <v>42</v>
      </c>
      <c r="B114" s="80"/>
      <c r="C114" s="81"/>
      <c r="D114" s="11">
        <f>E114+G114</f>
        <v>245839</v>
      </c>
      <c r="E114" s="11">
        <f>E116+E123+E124</f>
        <v>244179</v>
      </c>
      <c r="F114" s="11">
        <f>F116+F123+F124</f>
        <v>142173</v>
      </c>
      <c r="G114" s="11">
        <f>G116+G123+G124</f>
        <v>1660</v>
      </c>
      <c r="H114" s="47">
        <f>I114+K114</f>
        <v>500880</v>
      </c>
      <c r="I114" s="47">
        <f>I116+I123+I124+I122</f>
        <v>498180</v>
      </c>
      <c r="J114" s="47">
        <f>J116+J123+J124</f>
        <v>403810</v>
      </c>
      <c r="K114" s="38">
        <f>K116+K123+K124+K122</f>
        <v>2700</v>
      </c>
    </row>
    <row r="115" spans="1:11" ht="15" hidden="1" customHeight="1" x14ac:dyDescent="0.2">
      <c r="A115" s="82"/>
      <c r="B115" s="82"/>
      <c r="C115" s="83"/>
      <c r="D115" s="27"/>
      <c r="E115" s="19"/>
      <c r="F115" s="19"/>
      <c r="G115" s="19"/>
      <c r="H115" s="51"/>
      <c r="I115" s="52"/>
      <c r="J115" s="52"/>
      <c r="K115" s="39"/>
    </row>
    <row r="116" spans="1:11" ht="18" customHeight="1" x14ac:dyDescent="0.2">
      <c r="A116" s="84">
        <v>1</v>
      </c>
      <c r="B116" s="79" t="s">
        <v>78</v>
      </c>
      <c r="C116" s="22"/>
      <c r="D116" s="13">
        <f t="shared" ref="D116:D125" si="31">E116+G116</f>
        <v>244602</v>
      </c>
      <c r="E116" s="13">
        <f>SUM(E117:E121)</f>
        <v>242942</v>
      </c>
      <c r="F116" s="13">
        <f>SUM(F117:F121)</f>
        <v>142167</v>
      </c>
      <c r="G116" s="13">
        <f>SUM(G117:G121)</f>
        <v>1660</v>
      </c>
      <c r="H116" s="52">
        <f t="shared" ref="H116:H125" si="32">I116+K116</f>
        <v>494580</v>
      </c>
      <c r="I116" s="52">
        <f>SUM(I117:I121)</f>
        <v>491880</v>
      </c>
      <c r="J116" s="52">
        <f>SUM(J117:J121)</f>
        <v>403810</v>
      </c>
      <c r="K116" s="39">
        <f>SUM(K117:K121)</f>
        <v>2700</v>
      </c>
    </row>
    <row r="117" spans="1:11" ht="18" customHeight="1" x14ac:dyDescent="0.2">
      <c r="A117" s="84"/>
      <c r="B117" s="79"/>
      <c r="C117" s="21" t="s">
        <v>3</v>
      </c>
      <c r="D117" s="14">
        <f t="shared" si="31"/>
        <v>137480</v>
      </c>
      <c r="E117" s="15">
        <v>135820</v>
      </c>
      <c r="F117" s="15">
        <v>84857</v>
      </c>
      <c r="G117" s="15">
        <v>1660</v>
      </c>
      <c r="H117" s="50">
        <f t="shared" si="32"/>
        <v>240300</v>
      </c>
      <c r="I117" s="48">
        <v>237600</v>
      </c>
      <c r="J117" s="48">
        <v>201050</v>
      </c>
      <c r="K117" s="36">
        <v>2700</v>
      </c>
    </row>
    <row r="118" spans="1:11" ht="18" hidden="1" customHeight="1" x14ac:dyDescent="0.2">
      <c r="A118" s="84"/>
      <c r="B118" s="79"/>
      <c r="C118" s="21" t="s">
        <v>4</v>
      </c>
      <c r="D118" s="14">
        <f t="shared" si="31"/>
        <v>0</v>
      </c>
      <c r="E118" s="15"/>
      <c r="F118" s="15"/>
      <c r="G118" s="15"/>
      <c r="H118" s="50">
        <f t="shared" si="32"/>
        <v>0</v>
      </c>
      <c r="I118" s="48"/>
      <c r="J118" s="48"/>
      <c r="K118" s="15"/>
    </row>
    <row r="119" spans="1:11" ht="18" customHeight="1" x14ac:dyDescent="0.2">
      <c r="A119" s="84"/>
      <c r="B119" s="79"/>
      <c r="C119" s="21" t="s">
        <v>10</v>
      </c>
      <c r="D119" s="14">
        <f t="shared" si="31"/>
        <v>78912</v>
      </c>
      <c r="E119" s="15">
        <v>78912</v>
      </c>
      <c r="F119" s="15">
        <v>57310</v>
      </c>
      <c r="G119" s="15"/>
      <c r="H119" s="50">
        <f t="shared" si="32"/>
        <v>210780</v>
      </c>
      <c r="I119" s="48">
        <v>210780</v>
      </c>
      <c r="J119" s="48">
        <v>202760</v>
      </c>
      <c r="K119" s="36">
        <v>0</v>
      </c>
    </row>
    <row r="120" spans="1:11" ht="18" hidden="1" customHeight="1" x14ac:dyDescent="0.2">
      <c r="A120" s="84"/>
      <c r="B120" s="79"/>
      <c r="C120" s="21" t="s">
        <v>11</v>
      </c>
      <c r="D120" s="14"/>
      <c r="E120" s="15"/>
      <c r="F120" s="15"/>
      <c r="G120" s="15"/>
      <c r="H120" s="50">
        <f t="shared" ref="H120" si="33">I120+K120</f>
        <v>0</v>
      </c>
      <c r="I120" s="48"/>
      <c r="J120" s="48"/>
      <c r="K120" s="15">
        <v>0</v>
      </c>
    </row>
    <row r="121" spans="1:11" ht="18" customHeight="1" x14ac:dyDescent="0.2">
      <c r="A121" s="84"/>
      <c r="B121" s="79"/>
      <c r="C121" s="21" t="s">
        <v>5</v>
      </c>
      <c r="D121" s="14">
        <f t="shared" si="31"/>
        <v>28210</v>
      </c>
      <c r="E121" s="15">
        <v>28210</v>
      </c>
      <c r="F121" s="15"/>
      <c r="G121" s="15"/>
      <c r="H121" s="50">
        <f t="shared" si="32"/>
        <v>43500</v>
      </c>
      <c r="I121" s="48">
        <v>43500</v>
      </c>
      <c r="J121" s="48">
        <v>0</v>
      </c>
      <c r="K121" s="15">
        <v>0</v>
      </c>
    </row>
    <row r="122" spans="1:11" ht="28.5" hidden="1" customHeight="1" x14ac:dyDescent="0.2">
      <c r="A122" s="72">
        <v>2</v>
      </c>
      <c r="B122" s="73" t="s">
        <v>24</v>
      </c>
      <c r="C122" s="21" t="s">
        <v>3</v>
      </c>
      <c r="D122" s="14"/>
      <c r="E122" s="15"/>
      <c r="F122" s="15"/>
      <c r="G122" s="15"/>
      <c r="H122" s="51">
        <f t="shared" ref="H122" si="34">I122+K122</f>
        <v>0</v>
      </c>
      <c r="I122" s="52"/>
      <c r="J122" s="52">
        <v>0</v>
      </c>
      <c r="K122" s="18"/>
    </row>
    <row r="123" spans="1:11" ht="25.9" customHeight="1" x14ac:dyDescent="0.2">
      <c r="A123" s="61">
        <v>4</v>
      </c>
      <c r="B123" s="62" t="s">
        <v>26</v>
      </c>
      <c r="C123" s="21" t="s">
        <v>8</v>
      </c>
      <c r="D123" s="12">
        <f t="shared" si="31"/>
        <v>517</v>
      </c>
      <c r="E123" s="13">
        <v>517</v>
      </c>
      <c r="F123" s="13">
        <v>6</v>
      </c>
      <c r="G123" s="13"/>
      <c r="H123" s="51">
        <f t="shared" si="32"/>
        <v>6300</v>
      </c>
      <c r="I123" s="52">
        <v>6300</v>
      </c>
      <c r="J123" s="52">
        <v>0</v>
      </c>
      <c r="K123" s="18">
        <v>0</v>
      </c>
    </row>
    <row r="124" spans="1:11" ht="30" hidden="1" customHeight="1" x14ac:dyDescent="0.2">
      <c r="A124" s="61">
        <v>5</v>
      </c>
      <c r="B124" s="62" t="s">
        <v>27</v>
      </c>
      <c r="C124" s="21" t="s">
        <v>8</v>
      </c>
      <c r="D124" s="12">
        <f t="shared" si="31"/>
        <v>720</v>
      </c>
      <c r="E124" s="13">
        <v>720</v>
      </c>
      <c r="F124" s="13"/>
      <c r="G124" s="13"/>
      <c r="H124" s="51">
        <f t="shared" si="32"/>
        <v>0</v>
      </c>
      <c r="I124" s="52"/>
      <c r="J124" s="52">
        <v>0</v>
      </c>
      <c r="K124" s="18">
        <v>0</v>
      </c>
    </row>
    <row r="125" spans="1:11" ht="21.6" customHeight="1" x14ac:dyDescent="0.2">
      <c r="A125" s="80" t="s">
        <v>91</v>
      </c>
      <c r="B125" s="80"/>
      <c r="C125" s="81"/>
      <c r="D125" s="11">
        <f t="shared" si="31"/>
        <v>86268</v>
      </c>
      <c r="E125" s="11">
        <f>E127+E134+E135</f>
        <v>85733</v>
      </c>
      <c r="F125" s="11">
        <f>F127+F134+F135</f>
        <v>49894</v>
      </c>
      <c r="G125" s="11">
        <f>G127+G134+G135</f>
        <v>535</v>
      </c>
      <c r="H125" s="47">
        <f t="shared" si="32"/>
        <v>217480</v>
      </c>
      <c r="I125" s="47">
        <f>I127+I134+I135</f>
        <v>213480</v>
      </c>
      <c r="J125" s="47">
        <f>J127+J134+J135</f>
        <v>167820</v>
      </c>
      <c r="K125" s="38">
        <f>K127+K134+K135</f>
        <v>4000</v>
      </c>
    </row>
    <row r="126" spans="1:11" ht="15" hidden="1" customHeight="1" x14ac:dyDescent="0.2">
      <c r="A126" s="82"/>
      <c r="B126" s="82"/>
      <c r="C126" s="83"/>
      <c r="D126" s="12"/>
      <c r="E126" s="13"/>
      <c r="F126" s="13"/>
      <c r="G126" s="13"/>
      <c r="H126" s="51"/>
      <c r="I126" s="52"/>
      <c r="J126" s="52"/>
      <c r="K126" s="18"/>
    </row>
    <row r="127" spans="1:11" ht="18" customHeight="1" x14ac:dyDescent="0.2">
      <c r="A127" s="84">
        <v>1</v>
      </c>
      <c r="B127" s="79" t="s">
        <v>78</v>
      </c>
      <c r="C127" s="24"/>
      <c r="D127" s="13">
        <f t="shared" ref="D127:D136" si="35">E127+G127</f>
        <v>85240</v>
      </c>
      <c r="E127" s="13">
        <f>SUM(E128:E133)</f>
        <v>84705</v>
      </c>
      <c r="F127" s="13">
        <f>SUM(F128:F133)</f>
        <v>49889</v>
      </c>
      <c r="G127" s="13">
        <f>SUM(G128:G133)</f>
        <v>535</v>
      </c>
      <c r="H127" s="52">
        <f t="shared" ref="H127:H136" si="36">I127+K127</f>
        <v>213880</v>
      </c>
      <c r="I127" s="52">
        <f>SUM(I128:I133)</f>
        <v>209880</v>
      </c>
      <c r="J127" s="52">
        <f>SUM(J128:J133)</f>
        <v>167820</v>
      </c>
      <c r="K127" s="39">
        <f>SUM(K128:K133)</f>
        <v>4000</v>
      </c>
    </row>
    <row r="128" spans="1:11" ht="18" customHeight="1" x14ac:dyDescent="0.2">
      <c r="A128" s="84"/>
      <c r="B128" s="79"/>
      <c r="C128" s="21" t="s">
        <v>3</v>
      </c>
      <c r="D128" s="14">
        <f t="shared" si="35"/>
        <v>43925</v>
      </c>
      <c r="E128" s="15">
        <v>43925</v>
      </c>
      <c r="F128" s="15">
        <v>26645</v>
      </c>
      <c r="G128" s="15"/>
      <c r="H128" s="50">
        <f t="shared" si="36"/>
        <v>113300</v>
      </c>
      <c r="I128" s="48">
        <v>109300</v>
      </c>
      <c r="J128" s="48">
        <v>89100</v>
      </c>
      <c r="K128" s="36">
        <v>4000</v>
      </c>
    </row>
    <row r="129" spans="1:11" ht="18" hidden="1" customHeight="1" x14ac:dyDescent="0.2">
      <c r="A129" s="84"/>
      <c r="B129" s="79"/>
      <c r="C129" s="21" t="s">
        <v>4</v>
      </c>
      <c r="D129" s="14">
        <f t="shared" si="35"/>
        <v>0</v>
      </c>
      <c r="E129" s="15"/>
      <c r="F129" s="15"/>
      <c r="G129" s="15"/>
      <c r="H129" s="50">
        <f t="shared" si="36"/>
        <v>0</v>
      </c>
      <c r="I129" s="48"/>
      <c r="J129" s="48"/>
      <c r="K129" s="15"/>
    </row>
    <row r="130" spans="1:11" ht="18" customHeight="1" x14ac:dyDescent="0.2">
      <c r="A130" s="84"/>
      <c r="B130" s="79"/>
      <c r="C130" s="21" t="s">
        <v>10</v>
      </c>
      <c r="D130" s="14">
        <f t="shared" si="35"/>
        <v>32029</v>
      </c>
      <c r="E130" s="15">
        <v>31494</v>
      </c>
      <c r="F130" s="15">
        <v>23244</v>
      </c>
      <c r="G130" s="15">
        <v>535</v>
      </c>
      <c r="H130" s="50">
        <f t="shared" si="36"/>
        <v>81880</v>
      </c>
      <c r="I130" s="48">
        <v>81880</v>
      </c>
      <c r="J130" s="48">
        <v>78720</v>
      </c>
      <c r="K130" s="15">
        <v>0</v>
      </c>
    </row>
    <row r="131" spans="1:11" ht="18" hidden="1" customHeight="1" x14ac:dyDescent="0.2">
      <c r="A131" s="84"/>
      <c r="B131" s="79"/>
      <c r="C131" s="21" t="s">
        <v>11</v>
      </c>
      <c r="D131" s="14"/>
      <c r="E131" s="15"/>
      <c r="F131" s="15"/>
      <c r="G131" s="15"/>
      <c r="H131" s="50">
        <f t="shared" ref="H131" si="37">I131+K131</f>
        <v>0</v>
      </c>
      <c r="I131" s="48"/>
      <c r="J131" s="48"/>
      <c r="K131" s="15">
        <v>0</v>
      </c>
    </row>
    <row r="132" spans="1:11" ht="18" customHeight="1" x14ac:dyDescent="0.2">
      <c r="A132" s="84"/>
      <c r="B132" s="79"/>
      <c r="C132" s="21" t="s">
        <v>5</v>
      </c>
      <c r="D132" s="14">
        <f t="shared" si="35"/>
        <v>9286</v>
      </c>
      <c r="E132" s="15">
        <v>9286</v>
      </c>
      <c r="F132" s="15"/>
      <c r="G132" s="15"/>
      <c r="H132" s="50">
        <f t="shared" si="36"/>
        <v>18700</v>
      </c>
      <c r="I132" s="48">
        <v>18700</v>
      </c>
      <c r="J132" s="48">
        <v>0</v>
      </c>
      <c r="K132" s="15">
        <v>0</v>
      </c>
    </row>
    <row r="133" spans="1:11" ht="14.25" hidden="1" customHeight="1" x14ac:dyDescent="0.2">
      <c r="A133" s="84"/>
      <c r="B133" s="79"/>
      <c r="C133" s="21" t="s">
        <v>5</v>
      </c>
      <c r="D133" s="26">
        <f t="shared" si="35"/>
        <v>0</v>
      </c>
      <c r="E133" s="15"/>
      <c r="F133" s="15"/>
      <c r="G133" s="15"/>
      <c r="H133" s="53">
        <f t="shared" si="36"/>
        <v>0</v>
      </c>
      <c r="I133" s="49"/>
      <c r="J133" s="49"/>
      <c r="K133" s="15"/>
    </row>
    <row r="134" spans="1:11" ht="25.9" customHeight="1" x14ac:dyDescent="0.2">
      <c r="A134" s="61">
        <v>4</v>
      </c>
      <c r="B134" s="62" t="s">
        <v>26</v>
      </c>
      <c r="C134" s="21" t="s">
        <v>8</v>
      </c>
      <c r="D134" s="12">
        <f t="shared" si="35"/>
        <v>313</v>
      </c>
      <c r="E134" s="13">
        <v>313</v>
      </c>
      <c r="F134" s="13">
        <v>5</v>
      </c>
      <c r="G134" s="13"/>
      <c r="H134" s="51">
        <f t="shared" si="36"/>
        <v>3600</v>
      </c>
      <c r="I134" s="52">
        <v>3600</v>
      </c>
      <c r="J134" s="54">
        <v>0</v>
      </c>
      <c r="K134" s="18">
        <v>0</v>
      </c>
    </row>
    <row r="135" spans="1:11" ht="30" hidden="1" customHeight="1" x14ac:dyDescent="0.2">
      <c r="A135" s="61">
        <v>5</v>
      </c>
      <c r="B135" s="62" t="s">
        <v>27</v>
      </c>
      <c r="C135" s="21" t="s">
        <v>8</v>
      </c>
      <c r="D135" s="12">
        <f t="shared" si="35"/>
        <v>715</v>
      </c>
      <c r="E135" s="13">
        <v>715</v>
      </c>
      <c r="F135" s="13"/>
      <c r="G135" s="13"/>
      <c r="H135" s="51">
        <f t="shared" si="36"/>
        <v>0</v>
      </c>
      <c r="I135" s="52"/>
      <c r="J135" s="54">
        <v>0</v>
      </c>
      <c r="K135" s="18">
        <v>0</v>
      </c>
    </row>
    <row r="136" spans="1:11" ht="22.9" customHeight="1" x14ac:dyDescent="0.2">
      <c r="A136" s="80" t="s">
        <v>14</v>
      </c>
      <c r="B136" s="80"/>
      <c r="C136" s="81"/>
      <c r="D136" s="11" t="e">
        <f t="shared" si="35"/>
        <v>#REF!</v>
      </c>
      <c r="E136" s="11" t="e">
        <f>E138+E144+E145</f>
        <v>#REF!</v>
      </c>
      <c r="F136" s="11" t="e">
        <f>F138+F144+F145</f>
        <v>#REF!</v>
      </c>
      <c r="G136" s="11" t="e">
        <f>G138+G144+G145</f>
        <v>#REF!</v>
      </c>
      <c r="H136" s="47">
        <f t="shared" si="36"/>
        <v>1082229</v>
      </c>
      <c r="I136" s="47">
        <f>I138+I144+I145</f>
        <v>1077279</v>
      </c>
      <c r="J136" s="47">
        <f>J138+J144+J145</f>
        <v>950163</v>
      </c>
      <c r="K136" s="38">
        <f>K138+K144+K145</f>
        <v>4950</v>
      </c>
    </row>
    <row r="137" spans="1:11" ht="14.25" hidden="1" customHeight="1" x14ac:dyDescent="0.2">
      <c r="A137" s="82"/>
      <c r="B137" s="82"/>
      <c r="C137" s="83"/>
      <c r="D137" s="12"/>
      <c r="E137" s="13"/>
      <c r="F137" s="13"/>
      <c r="G137" s="13"/>
      <c r="H137" s="51"/>
      <c r="I137" s="52"/>
      <c r="J137" s="52"/>
      <c r="K137" s="39"/>
    </row>
    <row r="138" spans="1:11" ht="18" customHeight="1" x14ac:dyDescent="0.2">
      <c r="A138" s="84">
        <v>1</v>
      </c>
      <c r="B138" s="79" t="s">
        <v>78</v>
      </c>
      <c r="C138" s="24"/>
      <c r="D138" s="13">
        <f t="shared" ref="D138:D145" si="38">E138+G138</f>
        <v>1070484</v>
      </c>
      <c r="E138" s="13">
        <f>SUM(E139:E143)</f>
        <v>1070484</v>
      </c>
      <c r="F138" s="13">
        <f>SUM(F139:F143)</f>
        <v>706113</v>
      </c>
      <c r="G138" s="13">
        <f>SUM(G139:G143)</f>
        <v>0</v>
      </c>
      <c r="H138" s="52">
        <f t="shared" ref="H138:H145" si="39">I138+K138</f>
        <v>1082229</v>
      </c>
      <c r="I138" s="52">
        <f>SUM(I139:I143)</f>
        <v>1077279</v>
      </c>
      <c r="J138" s="52">
        <f>SUM(J139:J143)</f>
        <v>950163</v>
      </c>
      <c r="K138" s="39">
        <f>SUM(K139:K143)</f>
        <v>4950</v>
      </c>
    </row>
    <row r="139" spans="1:11" ht="18" customHeight="1" x14ac:dyDescent="0.2">
      <c r="A139" s="84"/>
      <c r="B139" s="79"/>
      <c r="C139" s="21" t="s">
        <v>3</v>
      </c>
      <c r="D139" s="14">
        <f t="shared" si="38"/>
        <v>265448</v>
      </c>
      <c r="E139" s="15">
        <v>265448</v>
      </c>
      <c r="F139" s="15">
        <v>124247</v>
      </c>
      <c r="G139" s="15"/>
      <c r="H139" s="50">
        <f t="shared" si="39"/>
        <v>293450</v>
      </c>
      <c r="I139" s="48">
        <v>288500</v>
      </c>
      <c r="J139" s="48">
        <v>200700</v>
      </c>
      <c r="K139" s="36">
        <v>4950</v>
      </c>
    </row>
    <row r="140" spans="1:11" ht="18" hidden="1" customHeight="1" x14ac:dyDescent="0.2">
      <c r="A140" s="84"/>
      <c r="B140" s="79"/>
      <c r="C140" s="21" t="s">
        <v>4</v>
      </c>
      <c r="D140" s="14">
        <f t="shared" si="38"/>
        <v>0</v>
      </c>
      <c r="E140" s="15"/>
      <c r="F140" s="15"/>
      <c r="G140" s="15"/>
      <c r="H140" s="50">
        <f t="shared" si="39"/>
        <v>0</v>
      </c>
      <c r="I140" s="48"/>
      <c r="J140" s="48"/>
      <c r="K140" s="36"/>
    </row>
    <row r="141" spans="1:11" ht="18" customHeight="1" x14ac:dyDescent="0.2">
      <c r="A141" s="84"/>
      <c r="B141" s="79"/>
      <c r="C141" s="21" t="s">
        <v>10</v>
      </c>
      <c r="D141" s="14">
        <f t="shared" si="38"/>
        <v>778682</v>
      </c>
      <c r="E141" s="15">
        <v>778682</v>
      </c>
      <c r="F141" s="15">
        <v>581866</v>
      </c>
      <c r="G141" s="15"/>
      <c r="H141" s="50">
        <f t="shared" si="39"/>
        <v>772220</v>
      </c>
      <c r="I141" s="48">
        <v>772220</v>
      </c>
      <c r="J141" s="48">
        <v>747040</v>
      </c>
      <c r="K141" s="36">
        <v>0</v>
      </c>
    </row>
    <row r="142" spans="1:11" ht="18" customHeight="1" x14ac:dyDescent="0.2">
      <c r="A142" s="84"/>
      <c r="B142" s="79"/>
      <c r="C142" s="21" t="s">
        <v>11</v>
      </c>
      <c r="D142" s="14">
        <f t="shared" si="38"/>
        <v>0</v>
      </c>
      <c r="E142" s="15"/>
      <c r="F142" s="15"/>
      <c r="G142" s="15"/>
      <c r="H142" s="50">
        <f t="shared" si="39"/>
        <v>12859</v>
      </c>
      <c r="I142" s="48">
        <v>12859</v>
      </c>
      <c r="J142" s="48">
        <v>1733</v>
      </c>
      <c r="K142" s="36">
        <v>0</v>
      </c>
    </row>
    <row r="143" spans="1:11" ht="18" customHeight="1" x14ac:dyDescent="0.2">
      <c r="A143" s="84"/>
      <c r="B143" s="79"/>
      <c r="C143" s="21" t="s">
        <v>5</v>
      </c>
      <c r="D143" s="14">
        <f t="shared" si="38"/>
        <v>26354</v>
      </c>
      <c r="E143" s="15">
        <v>26354</v>
      </c>
      <c r="F143" s="15"/>
      <c r="G143" s="15"/>
      <c r="H143" s="50">
        <f t="shared" si="39"/>
        <v>3700</v>
      </c>
      <c r="I143" s="48">
        <v>3700</v>
      </c>
      <c r="J143" s="48">
        <v>690</v>
      </c>
      <c r="K143" s="36">
        <v>0</v>
      </c>
    </row>
    <row r="144" spans="1:11" ht="33.75" hidden="1" customHeight="1" x14ac:dyDescent="0.2">
      <c r="A144" s="72">
        <v>2</v>
      </c>
      <c r="B144" s="73" t="s">
        <v>24</v>
      </c>
      <c r="C144" s="25" t="s">
        <v>3</v>
      </c>
      <c r="D144" s="13" t="e">
        <f t="shared" si="38"/>
        <v>#REF!</v>
      </c>
      <c r="E144" s="13" t="e">
        <f>SUM(#REF!)</f>
        <v>#REF!</v>
      </c>
      <c r="F144" s="13" t="e">
        <f>SUM(#REF!)</f>
        <v>#REF!</v>
      </c>
      <c r="G144" s="13" t="e">
        <f>SUM(#REF!)</f>
        <v>#REF!</v>
      </c>
      <c r="H144" s="52">
        <f t="shared" si="39"/>
        <v>0</v>
      </c>
      <c r="I144" s="52"/>
      <c r="J144" s="52">
        <v>0</v>
      </c>
      <c r="K144" s="39"/>
    </row>
    <row r="145" spans="1:11" ht="30" hidden="1" customHeight="1" x14ac:dyDescent="0.2">
      <c r="A145" s="61">
        <v>5</v>
      </c>
      <c r="B145" s="62" t="s">
        <v>27</v>
      </c>
      <c r="C145" s="21" t="s">
        <v>8</v>
      </c>
      <c r="D145" s="12">
        <f t="shared" si="38"/>
        <v>2880</v>
      </c>
      <c r="E145" s="13">
        <v>2880</v>
      </c>
      <c r="F145" s="13"/>
      <c r="G145" s="13"/>
      <c r="H145" s="51">
        <f t="shared" si="39"/>
        <v>0</v>
      </c>
      <c r="I145" s="52"/>
      <c r="J145" s="52">
        <v>0</v>
      </c>
      <c r="K145" s="39">
        <v>0</v>
      </c>
    </row>
    <row r="146" spans="1:11" ht="23.45" customHeight="1" x14ac:dyDescent="0.2">
      <c r="A146" s="80" t="s">
        <v>15</v>
      </c>
      <c r="B146" s="80"/>
      <c r="C146" s="81"/>
      <c r="D146" s="11">
        <f>E146+G146</f>
        <v>893267</v>
      </c>
      <c r="E146" s="11">
        <f>E148+E155+E159</f>
        <v>892340</v>
      </c>
      <c r="F146" s="11">
        <f>F148+F155+F159</f>
        <v>571784</v>
      </c>
      <c r="G146" s="11">
        <f>G148+G155+G159</f>
        <v>927</v>
      </c>
      <c r="H146" s="47">
        <f>I146+K146</f>
        <v>1946188</v>
      </c>
      <c r="I146" s="47">
        <f>I148+I155+I159</f>
        <v>1946188</v>
      </c>
      <c r="J146" s="47">
        <f>J148+J155+J159</f>
        <v>1739011</v>
      </c>
      <c r="K146" s="38">
        <f>K148+K155+K159+K154</f>
        <v>0</v>
      </c>
    </row>
    <row r="147" spans="1:11" ht="15" hidden="1" customHeight="1" thickBot="1" x14ac:dyDescent="0.25">
      <c r="A147" s="82"/>
      <c r="B147" s="82"/>
      <c r="C147" s="83"/>
      <c r="D147" s="12"/>
      <c r="E147" s="13"/>
      <c r="F147" s="13"/>
      <c r="G147" s="13"/>
      <c r="H147" s="53"/>
      <c r="I147" s="54"/>
      <c r="J147" s="54"/>
      <c r="K147" s="18"/>
    </row>
    <row r="148" spans="1:11" ht="18" customHeight="1" x14ac:dyDescent="0.2">
      <c r="A148" s="84">
        <v>1</v>
      </c>
      <c r="B148" s="79" t="s">
        <v>78</v>
      </c>
      <c r="C148" s="25"/>
      <c r="D148" s="13">
        <f t="shared" ref="D148:D159" si="40">E148+G148</f>
        <v>858721</v>
      </c>
      <c r="E148" s="13">
        <f>SUM(E149:E153)</f>
        <v>857794</v>
      </c>
      <c r="F148" s="13">
        <f>SUM(F149:F153)</f>
        <v>570928</v>
      </c>
      <c r="G148" s="13">
        <f>SUM(G149:G153)</f>
        <v>927</v>
      </c>
      <c r="H148" s="52">
        <f t="shared" ref="H148:H159" si="41">I148+K148</f>
        <v>1946188</v>
      </c>
      <c r="I148" s="52">
        <f>SUM(I149:I153)</f>
        <v>1946188</v>
      </c>
      <c r="J148" s="52">
        <f>SUM(J149:J153)</f>
        <v>1739011</v>
      </c>
      <c r="K148" s="39">
        <f>SUM(K149:K153)</f>
        <v>0</v>
      </c>
    </row>
    <row r="149" spans="1:11" ht="18" customHeight="1" x14ac:dyDescent="0.2">
      <c r="A149" s="84"/>
      <c r="B149" s="79"/>
      <c r="C149" s="21" t="s">
        <v>3</v>
      </c>
      <c r="D149" s="14">
        <f t="shared" si="40"/>
        <v>226490</v>
      </c>
      <c r="E149" s="15">
        <v>226490</v>
      </c>
      <c r="F149" s="15">
        <v>129227</v>
      </c>
      <c r="G149" s="15"/>
      <c r="H149" s="50">
        <f t="shared" si="41"/>
        <v>507100</v>
      </c>
      <c r="I149" s="48">
        <v>507100</v>
      </c>
      <c r="J149" s="48">
        <v>378600</v>
      </c>
      <c r="K149" s="36">
        <v>0</v>
      </c>
    </row>
    <row r="150" spans="1:11" ht="18" hidden="1" customHeight="1" x14ac:dyDescent="0.2">
      <c r="A150" s="84"/>
      <c r="B150" s="79"/>
      <c r="C150" s="21" t="s">
        <v>4</v>
      </c>
      <c r="D150" s="14">
        <f t="shared" si="40"/>
        <v>0</v>
      </c>
      <c r="E150" s="15"/>
      <c r="F150" s="15"/>
      <c r="G150" s="15"/>
      <c r="H150" s="50">
        <f t="shared" si="41"/>
        <v>0</v>
      </c>
      <c r="I150" s="48"/>
      <c r="J150" s="48"/>
      <c r="K150" s="36"/>
    </row>
    <row r="151" spans="1:11" ht="18" customHeight="1" x14ac:dyDescent="0.2">
      <c r="A151" s="84"/>
      <c r="B151" s="79"/>
      <c r="C151" s="21" t="s">
        <v>10</v>
      </c>
      <c r="D151" s="14">
        <f t="shared" si="40"/>
        <v>595815</v>
      </c>
      <c r="E151" s="15">
        <v>594888</v>
      </c>
      <c r="F151" s="15">
        <v>441701</v>
      </c>
      <c r="G151" s="15">
        <v>927</v>
      </c>
      <c r="H151" s="50">
        <f t="shared" si="41"/>
        <v>1404330</v>
      </c>
      <c r="I151" s="48">
        <v>1404330</v>
      </c>
      <c r="J151" s="48">
        <v>1356420</v>
      </c>
      <c r="K151" s="36">
        <v>0</v>
      </c>
    </row>
    <row r="152" spans="1:11" ht="18" customHeight="1" x14ac:dyDescent="0.2">
      <c r="A152" s="84"/>
      <c r="B152" s="79"/>
      <c r="C152" s="21" t="s">
        <v>11</v>
      </c>
      <c r="D152" s="14">
        <f t="shared" si="40"/>
        <v>0</v>
      </c>
      <c r="E152" s="15"/>
      <c r="F152" s="15"/>
      <c r="G152" s="15"/>
      <c r="H152" s="50">
        <f t="shared" ref="H152" si="42">I152+K152</f>
        <v>23358</v>
      </c>
      <c r="I152" s="48">
        <v>23358</v>
      </c>
      <c r="J152" s="48">
        <v>2541</v>
      </c>
      <c r="K152" s="36">
        <v>0</v>
      </c>
    </row>
    <row r="153" spans="1:11" ht="18" customHeight="1" x14ac:dyDescent="0.2">
      <c r="A153" s="84"/>
      <c r="B153" s="79"/>
      <c r="C153" s="21" t="s">
        <v>5</v>
      </c>
      <c r="D153" s="14">
        <f t="shared" si="40"/>
        <v>36416</v>
      </c>
      <c r="E153" s="15">
        <v>36416</v>
      </c>
      <c r="F153" s="15"/>
      <c r="G153" s="15"/>
      <c r="H153" s="50">
        <f t="shared" si="41"/>
        <v>11400</v>
      </c>
      <c r="I153" s="48">
        <v>11400</v>
      </c>
      <c r="J153" s="48">
        <v>1450</v>
      </c>
      <c r="K153" s="36">
        <v>0</v>
      </c>
    </row>
    <row r="154" spans="1:11" ht="30" hidden="1" customHeight="1" x14ac:dyDescent="0.2">
      <c r="A154" s="74">
        <v>2</v>
      </c>
      <c r="B154" s="75" t="s">
        <v>24</v>
      </c>
      <c r="C154" s="25" t="s">
        <v>3</v>
      </c>
      <c r="D154" s="14"/>
      <c r="E154" s="15"/>
      <c r="F154" s="15"/>
      <c r="G154" s="15"/>
      <c r="H154" s="51">
        <f t="shared" si="41"/>
        <v>0</v>
      </c>
      <c r="I154" s="52">
        <v>0</v>
      </c>
      <c r="J154" s="52">
        <v>0</v>
      </c>
      <c r="K154" s="39"/>
    </row>
    <row r="155" spans="1:11" ht="18" hidden="1" customHeight="1" x14ac:dyDescent="0.2">
      <c r="A155" s="84">
        <v>4</v>
      </c>
      <c r="B155" s="79" t="s">
        <v>26</v>
      </c>
      <c r="C155" s="22"/>
      <c r="D155" s="13">
        <f t="shared" si="40"/>
        <v>31654</v>
      </c>
      <c r="E155" s="13">
        <f>SUM(E156:E158)</f>
        <v>31654</v>
      </c>
      <c r="F155" s="13">
        <f>SUM(F156:F158)</f>
        <v>856</v>
      </c>
      <c r="G155" s="13">
        <f>SUM(G156:G158)</f>
        <v>0</v>
      </c>
      <c r="H155" s="52">
        <f t="shared" si="41"/>
        <v>0</v>
      </c>
      <c r="I155" s="52">
        <f>SUM(I156:I158)</f>
        <v>0</v>
      </c>
      <c r="J155" s="52">
        <f>SUM(J156:J158)</f>
        <v>0</v>
      </c>
      <c r="K155" s="39">
        <f>SUM(K156:K158)</f>
        <v>0</v>
      </c>
    </row>
    <row r="156" spans="1:11" ht="19.899999999999999" hidden="1" customHeight="1" x14ac:dyDescent="0.2">
      <c r="A156" s="84"/>
      <c r="B156" s="79"/>
      <c r="C156" s="21" t="s">
        <v>8</v>
      </c>
      <c r="D156" s="14">
        <f t="shared" si="40"/>
        <v>30494</v>
      </c>
      <c r="E156" s="15">
        <v>30494</v>
      </c>
      <c r="F156" s="15">
        <v>856</v>
      </c>
      <c r="G156" s="15"/>
      <c r="H156" s="50">
        <f t="shared" si="41"/>
        <v>0</v>
      </c>
      <c r="I156" s="48"/>
      <c r="J156" s="48">
        <v>0</v>
      </c>
      <c r="K156" s="36">
        <v>0</v>
      </c>
    </row>
    <row r="157" spans="1:11" ht="18" hidden="1" customHeight="1" x14ac:dyDescent="0.2">
      <c r="A157" s="84"/>
      <c r="B157" s="79"/>
      <c r="C157" s="21" t="s">
        <v>6</v>
      </c>
      <c r="D157" s="14">
        <f t="shared" si="40"/>
        <v>1160</v>
      </c>
      <c r="E157" s="15">
        <v>1160</v>
      </c>
      <c r="F157" s="15"/>
      <c r="G157" s="15"/>
      <c r="H157" s="50">
        <f t="shared" si="41"/>
        <v>0</v>
      </c>
      <c r="I157" s="48"/>
      <c r="J157" s="48"/>
      <c r="K157" s="36"/>
    </row>
    <row r="158" spans="1:11" ht="18" hidden="1" customHeight="1" x14ac:dyDescent="0.2">
      <c r="A158" s="84"/>
      <c r="B158" s="79"/>
      <c r="C158" s="21" t="s">
        <v>3</v>
      </c>
      <c r="D158" s="14">
        <f t="shared" si="40"/>
        <v>0</v>
      </c>
      <c r="E158" s="15"/>
      <c r="F158" s="15"/>
      <c r="G158" s="15"/>
      <c r="H158" s="50">
        <f t="shared" si="41"/>
        <v>0</v>
      </c>
      <c r="I158" s="48"/>
      <c r="J158" s="48">
        <v>0</v>
      </c>
      <c r="K158" s="36">
        <v>0</v>
      </c>
    </row>
    <row r="159" spans="1:11" ht="30" hidden="1" customHeight="1" x14ac:dyDescent="0.2">
      <c r="A159" s="61">
        <v>5</v>
      </c>
      <c r="B159" s="62" t="s">
        <v>27</v>
      </c>
      <c r="C159" s="61" t="s">
        <v>8</v>
      </c>
      <c r="D159" s="12">
        <f t="shared" si="40"/>
        <v>2892</v>
      </c>
      <c r="E159" s="13">
        <v>2892</v>
      </c>
      <c r="F159" s="13"/>
      <c r="G159" s="13"/>
      <c r="H159" s="51">
        <f t="shared" si="41"/>
        <v>0</v>
      </c>
      <c r="I159" s="52"/>
      <c r="J159" s="52">
        <v>0</v>
      </c>
      <c r="K159" s="39">
        <v>0</v>
      </c>
    </row>
    <row r="160" spans="1:11" ht="21.6" customHeight="1" x14ac:dyDescent="0.2">
      <c r="A160" s="80" t="s">
        <v>79</v>
      </c>
      <c r="B160" s="80"/>
      <c r="C160" s="81"/>
      <c r="D160" s="11">
        <f t="shared" ref="D160" si="43">E160+G160</f>
        <v>574248</v>
      </c>
      <c r="E160" s="11">
        <f>E162+E169+E173</f>
        <v>574248</v>
      </c>
      <c r="F160" s="11">
        <f>F162+F169+F173</f>
        <v>374199</v>
      </c>
      <c r="G160" s="11">
        <f>G162+G169+G173</f>
        <v>0</v>
      </c>
      <c r="H160" s="47">
        <f t="shared" ref="H160" si="44">I160+K160</f>
        <v>1133366</v>
      </c>
      <c r="I160" s="47">
        <f>I162+I169+I173</f>
        <v>1131386</v>
      </c>
      <c r="J160" s="47">
        <f>J162+J169+J173</f>
        <v>1012068</v>
      </c>
      <c r="K160" s="38">
        <f>K162+K169+K173</f>
        <v>1980</v>
      </c>
    </row>
    <row r="161" spans="1:11" ht="15" hidden="1" customHeight="1" thickBot="1" x14ac:dyDescent="0.25">
      <c r="A161" s="82"/>
      <c r="B161" s="82"/>
      <c r="C161" s="83"/>
      <c r="D161" s="12"/>
      <c r="E161" s="13"/>
      <c r="F161" s="13"/>
      <c r="G161" s="13"/>
      <c r="H161" s="51"/>
      <c r="I161" s="52"/>
      <c r="J161" s="52"/>
      <c r="K161" s="39"/>
    </row>
    <row r="162" spans="1:11" ht="19.149999999999999" customHeight="1" x14ac:dyDescent="0.2">
      <c r="A162" s="84">
        <v>1</v>
      </c>
      <c r="B162" s="79" t="s">
        <v>78</v>
      </c>
      <c r="C162" s="25"/>
      <c r="D162" s="13">
        <f t="shared" ref="D162:D174" si="45">E162+G162</f>
        <v>547061</v>
      </c>
      <c r="E162" s="13">
        <f>SUM(E163:E168)</f>
        <v>547061</v>
      </c>
      <c r="F162" s="13">
        <f>SUM(F163:F168)</f>
        <v>373508</v>
      </c>
      <c r="G162" s="13">
        <f>SUM(G163:G168)</f>
        <v>0</v>
      </c>
      <c r="H162" s="52">
        <f t="shared" ref="H162:H174" si="46">I162+K162</f>
        <v>1133366</v>
      </c>
      <c r="I162" s="52">
        <f>SUM(I163:I168)</f>
        <v>1131386</v>
      </c>
      <c r="J162" s="52">
        <f>SUM(J163:J168)</f>
        <v>1012068</v>
      </c>
      <c r="K162" s="39">
        <f>SUM(K163:K168)</f>
        <v>1980</v>
      </c>
    </row>
    <row r="163" spans="1:11" ht="19.149999999999999" customHeight="1" x14ac:dyDescent="0.2">
      <c r="A163" s="84"/>
      <c r="B163" s="79"/>
      <c r="C163" s="21" t="s">
        <v>3</v>
      </c>
      <c r="D163" s="14">
        <f t="shared" si="45"/>
        <v>132707</v>
      </c>
      <c r="E163" s="15">
        <v>132707</v>
      </c>
      <c r="F163" s="15">
        <v>71776</v>
      </c>
      <c r="G163" s="15"/>
      <c r="H163" s="50">
        <f t="shared" si="46"/>
        <v>291880</v>
      </c>
      <c r="I163" s="48">
        <v>289900</v>
      </c>
      <c r="J163" s="48">
        <v>211500</v>
      </c>
      <c r="K163" s="36">
        <v>1980</v>
      </c>
    </row>
    <row r="164" spans="1:11" ht="18" hidden="1" customHeight="1" x14ac:dyDescent="0.2">
      <c r="A164" s="84"/>
      <c r="B164" s="79"/>
      <c r="C164" s="21" t="s">
        <v>4</v>
      </c>
      <c r="D164" s="14">
        <f t="shared" si="45"/>
        <v>0</v>
      </c>
      <c r="E164" s="15"/>
      <c r="F164" s="15"/>
      <c r="G164" s="15"/>
      <c r="H164" s="50">
        <f t="shared" si="46"/>
        <v>0</v>
      </c>
      <c r="I164" s="48"/>
      <c r="J164" s="48"/>
      <c r="K164" s="15"/>
    </row>
    <row r="165" spans="1:11" ht="19.149999999999999" customHeight="1" x14ac:dyDescent="0.2">
      <c r="A165" s="84"/>
      <c r="B165" s="79"/>
      <c r="C165" s="21" t="s">
        <v>10</v>
      </c>
      <c r="D165" s="14">
        <f t="shared" si="45"/>
        <v>405747</v>
      </c>
      <c r="E165" s="15">
        <v>405747</v>
      </c>
      <c r="F165" s="15">
        <v>301732</v>
      </c>
      <c r="G165" s="15"/>
      <c r="H165" s="50">
        <f t="shared" si="46"/>
        <v>822645</v>
      </c>
      <c r="I165" s="48">
        <v>822645</v>
      </c>
      <c r="J165" s="48">
        <v>798925</v>
      </c>
      <c r="K165" s="36">
        <v>0</v>
      </c>
    </row>
    <row r="166" spans="1:11" ht="18" customHeight="1" x14ac:dyDescent="0.2">
      <c r="A166" s="84"/>
      <c r="B166" s="79"/>
      <c r="C166" s="21" t="s">
        <v>11</v>
      </c>
      <c r="D166" s="14">
        <f t="shared" si="45"/>
        <v>0</v>
      </c>
      <c r="E166" s="15"/>
      <c r="F166" s="15"/>
      <c r="G166" s="15"/>
      <c r="H166" s="50">
        <f t="shared" si="46"/>
        <v>9701</v>
      </c>
      <c r="I166" s="48">
        <v>9701</v>
      </c>
      <c r="J166" s="48">
        <v>1133</v>
      </c>
      <c r="K166" s="15">
        <v>0</v>
      </c>
    </row>
    <row r="167" spans="1:11" ht="18" hidden="1" customHeight="1" x14ac:dyDescent="0.2">
      <c r="A167" s="84"/>
      <c r="B167" s="79"/>
      <c r="C167" s="21" t="s">
        <v>77</v>
      </c>
      <c r="D167" s="14"/>
      <c r="E167" s="15"/>
      <c r="F167" s="15"/>
      <c r="G167" s="15"/>
      <c r="H167" s="50">
        <f t="shared" ref="H167" si="47">I167+K167</f>
        <v>0</v>
      </c>
      <c r="I167" s="48">
        <v>0</v>
      </c>
      <c r="J167" s="48">
        <v>0</v>
      </c>
      <c r="K167" s="15">
        <v>0</v>
      </c>
    </row>
    <row r="168" spans="1:11" ht="18" customHeight="1" x14ac:dyDescent="0.2">
      <c r="A168" s="84"/>
      <c r="B168" s="79"/>
      <c r="C168" s="21" t="s">
        <v>5</v>
      </c>
      <c r="D168" s="14">
        <f t="shared" si="45"/>
        <v>8607</v>
      </c>
      <c r="E168" s="15">
        <v>8607</v>
      </c>
      <c r="F168" s="15"/>
      <c r="G168" s="15"/>
      <c r="H168" s="50">
        <f t="shared" si="46"/>
        <v>9140</v>
      </c>
      <c r="I168" s="48">
        <v>9140</v>
      </c>
      <c r="J168" s="48">
        <v>510</v>
      </c>
      <c r="K168" s="15">
        <v>0</v>
      </c>
    </row>
    <row r="169" spans="1:11" ht="18" hidden="1" customHeight="1" x14ac:dyDescent="0.2">
      <c r="A169" s="84">
        <v>4</v>
      </c>
      <c r="B169" s="79" t="s">
        <v>26</v>
      </c>
      <c r="C169" s="25" t="s">
        <v>3</v>
      </c>
      <c r="D169" s="13">
        <f t="shared" si="45"/>
        <v>26109</v>
      </c>
      <c r="E169" s="13">
        <f>SUM(E170:E172)</f>
        <v>26109</v>
      </c>
      <c r="F169" s="13">
        <f>SUM(F170:F172)</f>
        <v>691</v>
      </c>
      <c r="G169" s="13">
        <f>SUM(G170:G172)</f>
        <v>0</v>
      </c>
      <c r="H169" s="52">
        <f t="shared" si="46"/>
        <v>0</v>
      </c>
      <c r="I169" s="52"/>
      <c r="J169" s="52">
        <f>SUM(J170:J172)</f>
        <v>0</v>
      </c>
      <c r="K169" s="18">
        <f>SUM(K170:K172)</f>
        <v>0</v>
      </c>
    </row>
    <row r="170" spans="1:11" ht="18" hidden="1" customHeight="1" x14ac:dyDescent="0.2">
      <c r="A170" s="84"/>
      <c r="B170" s="79"/>
      <c r="C170" s="21" t="s">
        <v>8</v>
      </c>
      <c r="D170" s="14">
        <f t="shared" si="45"/>
        <v>24705</v>
      </c>
      <c r="E170" s="15">
        <v>24705</v>
      </c>
      <c r="F170" s="15">
        <v>691</v>
      </c>
      <c r="G170" s="15"/>
      <c r="H170" s="50">
        <f t="shared" si="46"/>
        <v>0</v>
      </c>
      <c r="I170" s="48"/>
      <c r="J170" s="48">
        <v>0</v>
      </c>
      <c r="K170" s="15">
        <v>0</v>
      </c>
    </row>
    <row r="171" spans="1:11" ht="18" hidden="1" customHeight="1" x14ac:dyDescent="0.2">
      <c r="A171" s="84"/>
      <c r="B171" s="79"/>
      <c r="C171" s="21" t="s">
        <v>6</v>
      </c>
      <c r="D171" s="14">
        <f t="shared" si="45"/>
        <v>78</v>
      </c>
      <c r="E171" s="15">
        <v>78</v>
      </c>
      <c r="F171" s="15"/>
      <c r="G171" s="15"/>
      <c r="H171" s="50">
        <f t="shared" si="46"/>
        <v>0</v>
      </c>
      <c r="I171" s="48"/>
      <c r="J171" s="48"/>
      <c r="K171" s="15"/>
    </row>
    <row r="172" spans="1:11" ht="18" hidden="1" customHeight="1" x14ac:dyDescent="0.2">
      <c r="A172" s="84"/>
      <c r="B172" s="79"/>
      <c r="C172" s="21" t="s">
        <v>3</v>
      </c>
      <c r="D172" s="14">
        <f t="shared" si="45"/>
        <v>1326</v>
      </c>
      <c r="E172" s="15">
        <v>1326</v>
      </c>
      <c r="F172" s="15"/>
      <c r="G172" s="15"/>
      <c r="H172" s="50">
        <f t="shared" si="46"/>
        <v>0</v>
      </c>
      <c r="I172" s="48"/>
      <c r="J172" s="48">
        <v>0</v>
      </c>
      <c r="K172" s="15">
        <v>0</v>
      </c>
    </row>
    <row r="173" spans="1:11" ht="32.25" hidden="1" customHeight="1" x14ac:dyDescent="0.2">
      <c r="A173" s="61">
        <v>5</v>
      </c>
      <c r="B173" s="62" t="s">
        <v>27</v>
      </c>
      <c r="C173" s="21" t="s">
        <v>8</v>
      </c>
      <c r="D173" s="12">
        <f t="shared" si="45"/>
        <v>1078</v>
      </c>
      <c r="E173" s="13">
        <v>1078</v>
      </c>
      <c r="F173" s="13"/>
      <c r="G173" s="13"/>
      <c r="H173" s="51">
        <f t="shared" si="46"/>
        <v>0</v>
      </c>
      <c r="I173" s="52"/>
      <c r="J173" s="52">
        <v>0</v>
      </c>
      <c r="K173" s="18">
        <v>0</v>
      </c>
    </row>
    <row r="174" spans="1:11" ht="24" hidden="1" customHeight="1" x14ac:dyDescent="0.2">
      <c r="A174" s="80" t="s">
        <v>82</v>
      </c>
      <c r="B174" s="80"/>
      <c r="C174" s="81"/>
      <c r="D174" s="11">
        <f t="shared" si="45"/>
        <v>194702</v>
      </c>
      <c r="E174" s="11">
        <f>E176+E182+E185</f>
        <v>193702</v>
      </c>
      <c r="F174" s="11">
        <f>F176+F182+F185</f>
        <v>124977</v>
      </c>
      <c r="G174" s="11">
        <f>G176+G182+G185</f>
        <v>1000</v>
      </c>
      <c r="H174" s="47">
        <f t="shared" si="46"/>
        <v>0</v>
      </c>
      <c r="I174" s="47">
        <f>I176+I182+I185</f>
        <v>0</v>
      </c>
      <c r="J174" s="47">
        <f>J176+J182+J185</f>
        <v>0</v>
      </c>
      <c r="K174" s="42">
        <f>K176+K182+K185</f>
        <v>0</v>
      </c>
    </row>
    <row r="175" spans="1:11" ht="15" hidden="1" customHeight="1" x14ac:dyDescent="0.2">
      <c r="A175" s="82"/>
      <c r="B175" s="82"/>
      <c r="C175" s="83"/>
      <c r="D175" s="12"/>
      <c r="E175" s="13"/>
      <c r="F175" s="13"/>
      <c r="G175" s="13"/>
      <c r="H175" s="51"/>
      <c r="I175" s="52"/>
      <c r="J175" s="52"/>
      <c r="K175" s="39"/>
    </row>
    <row r="176" spans="1:11" ht="18" hidden="1" customHeight="1" x14ac:dyDescent="0.2">
      <c r="A176" s="84">
        <v>1</v>
      </c>
      <c r="B176" s="79" t="s">
        <v>78</v>
      </c>
      <c r="C176" s="25"/>
      <c r="D176" s="13">
        <f t="shared" ref="D176:D185" si="48">E176+G176</f>
        <v>186719</v>
      </c>
      <c r="E176" s="13">
        <f>SUM(E177:E181)</f>
        <v>185719</v>
      </c>
      <c r="F176" s="13">
        <f>SUM(F177:F181)</f>
        <v>124774</v>
      </c>
      <c r="G176" s="13">
        <f>SUM(G177:G181)</f>
        <v>1000</v>
      </c>
      <c r="H176" s="52">
        <f t="shared" ref="H176:H185" si="49">I176+K176</f>
        <v>0</v>
      </c>
      <c r="I176" s="52">
        <f>SUM(I177:I181)</f>
        <v>0</v>
      </c>
      <c r="J176" s="52">
        <f>SUM(J177:J181)</f>
        <v>0</v>
      </c>
      <c r="K176" s="39">
        <f>SUM(K177:K181)</f>
        <v>0</v>
      </c>
    </row>
    <row r="177" spans="1:11" ht="19.899999999999999" hidden="1" customHeight="1" x14ac:dyDescent="0.2">
      <c r="A177" s="84"/>
      <c r="B177" s="79"/>
      <c r="C177" s="21" t="s">
        <v>3</v>
      </c>
      <c r="D177" s="14">
        <f t="shared" si="48"/>
        <v>68517</v>
      </c>
      <c r="E177" s="15">
        <v>68517</v>
      </c>
      <c r="F177" s="15">
        <v>37651</v>
      </c>
      <c r="G177" s="15"/>
      <c r="H177" s="50">
        <f t="shared" si="49"/>
        <v>0</v>
      </c>
      <c r="I177" s="48"/>
      <c r="J177" s="48"/>
      <c r="K177" s="36">
        <v>0</v>
      </c>
    </row>
    <row r="178" spans="1:11" ht="18" hidden="1" customHeight="1" x14ac:dyDescent="0.2">
      <c r="A178" s="84"/>
      <c r="B178" s="79"/>
      <c r="C178" s="21" t="s">
        <v>4</v>
      </c>
      <c r="D178" s="14">
        <f t="shared" si="48"/>
        <v>0</v>
      </c>
      <c r="E178" s="15"/>
      <c r="F178" s="15"/>
      <c r="G178" s="15"/>
      <c r="H178" s="50">
        <f t="shared" si="49"/>
        <v>0</v>
      </c>
      <c r="I178" s="48"/>
      <c r="J178" s="48"/>
      <c r="K178" s="36"/>
    </row>
    <row r="179" spans="1:11" ht="20.45" hidden="1" customHeight="1" x14ac:dyDescent="0.2">
      <c r="A179" s="84"/>
      <c r="B179" s="79"/>
      <c r="C179" s="21" t="s">
        <v>10</v>
      </c>
      <c r="D179" s="14">
        <f t="shared" si="48"/>
        <v>116491</v>
      </c>
      <c r="E179" s="15">
        <v>115491</v>
      </c>
      <c r="F179" s="15">
        <v>87123</v>
      </c>
      <c r="G179" s="15">
        <v>1000</v>
      </c>
      <c r="H179" s="50">
        <f t="shared" si="49"/>
        <v>0</v>
      </c>
      <c r="I179" s="48"/>
      <c r="J179" s="48"/>
      <c r="K179" s="36">
        <v>0</v>
      </c>
    </row>
    <row r="180" spans="1:11" ht="18" hidden="1" customHeight="1" x14ac:dyDescent="0.2">
      <c r="A180" s="84"/>
      <c r="B180" s="79"/>
      <c r="C180" s="21" t="s">
        <v>11</v>
      </c>
      <c r="D180" s="14">
        <f t="shared" si="48"/>
        <v>0</v>
      </c>
      <c r="E180" s="15"/>
      <c r="F180" s="15"/>
      <c r="G180" s="15"/>
      <c r="H180" s="50">
        <f t="shared" si="49"/>
        <v>0</v>
      </c>
      <c r="I180" s="48"/>
      <c r="J180" s="48"/>
      <c r="K180" s="36">
        <v>0</v>
      </c>
    </row>
    <row r="181" spans="1:11" ht="18" hidden="1" customHeight="1" x14ac:dyDescent="0.2">
      <c r="A181" s="84"/>
      <c r="B181" s="79"/>
      <c r="C181" s="21" t="s">
        <v>5</v>
      </c>
      <c r="D181" s="14">
        <f t="shared" si="48"/>
        <v>1711</v>
      </c>
      <c r="E181" s="15">
        <v>1711</v>
      </c>
      <c r="F181" s="15"/>
      <c r="G181" s="15"/>
      <c r="H181" s="50">
        <f t="shared" si="49"/>
        <v>0</v>
      </c>
      <c r="I181" s="48"/>
      <c r="J181" s="48"/>
      <c r="K181" s="36">
        <v>0</v>
      </c>
    </row>
    <row r="182" spans="1:11" ht="18" hidden="1" customHeight="1" x14ac:dyDescent="0.2">
      <c r="A182" s="84">
        <v>4</v>
      </c>
      <c r="B182" s="79" t="s">
        <v>26</v>
      </c>
      <c r="C182" s="21"/>
      <c r="D182" s="13">
        <f t="shared" si="48"/>
        <v>7266</v>
      </c>
      <c r="E182" s="13">
        <f>SUM(E183:E184)</f>
        <v>7266</v>
      </c>
      <c r="F182" s="13">
        <f>SUM(F183:F185)</f>
        <v>203</v>
      </c>
      <c r="G182" s="13">
        <f>SUM(G183:G185)</f>
        <v>0</v>
      </c>
      <c r="H182" s="52">
        <f t="shared" si="49"/>
        <v>0</v>
      </c>
      <c r="I182" s="52">
        <f>SUM(I183:I184)</f>
        <v>0</v>
      </c>
      <c r="J182" s="52">
        <f>SUM(J183:J185)</f>
        <v>0</v>
      </c>
      <c r="K182" s="39">
        <f>SUM(K183:K185)</f>
        <v>0</v>
      </c>
    </row>
    <row r="183" spans="1:11" ht="30" hidden="1" customHeight="1" x14ac:dyDescent="0.2">
      <c r="A183" s="84"/>
      <c r="B183" s="79"/>
      <c r="C183" s="21" t="s">
        <v>8</v>
      </c>
      <c r="D183" s="14">
        <f t="shared" si="48"/>
        <v>7072</v>
      </c>
      <c r="E183" s="15">
        <v>7072</v>
      </c>
      <c r="F183" s="15">
        <v>203</v>
      </c>
      <c r="G183" s="15"/>
      <c r="H183" s="51">
        <f t="shared" si="49"/>
        <v>0</v>
      </c>
      <c r="I183" s="52">
        <v>0</v>
      </c>
      <c r="J183" s="52">
        <v>0</v>
      </c>
      <c r="K183" s="39">
        <v>0</v>
      </c>
    </row>
    <row r="184" spans="1:11" ht="18" hidden="1" customHeight="1" x14ac:dyDescent="0.2">
      <c r="A184" s="84"/>
      <c r="B184" s="79"/>
      <c r="C184" s="21" t="s">
        <v>6</v>
      </c>
      <c r="D184" s="14">
        <f t="shared" si="48"/>
        <v>194</v>
      </c>
      <c r="E184" s="15">
        <v>194</v>
      </c>
      <c r="F184" s="15"/>
      <c r="G184" s="15"/>
      <c r="H184" s="50">
        <f t="shared" si="49"/>
        <v>0</v>
      </c>
      <c r="I184" s="48"/>
      <c r="J184" s="48"/>
      <c r="K184" s="36"/>
    </row>
    <row r="185" spans="1:11" ht="28.15" hidden="1" customHeight="1" x14ac:dyDescent="0.2">
      <c r="A185" s="61">
        <v>5</v>
      </c>
      <c r="B185" s="62" t="s">
        <v>27</v>
      </c>
      <c r="C185" s="21" t="s">
        <v>8</v>
      </c>
      <c r="D185" s="12">
        <f t="shared" si="48"/>
        <v>717</v>
      </c>
      <c r="E185" s="13">
        <v>717</v>
      </c>
      <c r="F185" s="16"/>
      <c r="G185" s="16"/>
      <c r="H185" s="51">
        <f t="shared" si="49"/>
        <v>0</v>
      </c>
      <c r="I185" s="52"/>
      <c r="J185" s="52">
        <v>0</v>
      </c>
      <c r="K185" s="39">
        <v>0</v>
      </c>
    </row>
    <row r="186" spans="1:11" s="5" customFormat="1" ht="16.149999999999999" hidden="1" customHeight="1" x14ac:dyDescent="0.2">
      <c r="A186" s="61"/>
      <c r="B186" s="62"/>
      <c r="C186" s="21"/>
      <c r="D186" s="12"/>
      <c r="E186" s="13"/>
      <c r="F186" s="16"/>
      <c r="G186" s="16"/>
      <c r="H186" s="51"/>
      <c r="I186" s="52"/>
      <c r="J186" s="48"/>
      <c r="K186" s="36"/>
    </row>
    <row r="187" spans="1:11" ht="20.45" customHeight="1" x14ac:dyDescent="0.2">
      <c r="A187" s="80" t="s">
        <v>16</v>
      </c>
      <c r="B187" s="80"/>
      <c r="C187" s="81"/>
      <c r="D187" s="11">
        <f>E187+G187</f>
        <v>427754</v>
      </c>
      <c r="E187" s="11">
        <f>E189+E195+E197</f>
        <v>427320</v>
      </c>
      <c r="F187" s="11">
        <f>F189+F195+F197</f>
        <v>272987</v>
      </c>
      <c r="G187" s="11">
        <f>G189+G195+G197</f>
        <v>434</v>
      </c>
      <c r="H187" s="47">
        <f>I187+K187</f>
        <v>643369</v>
      </c>
      <c r="I187" s="47">
        <f>I189+I195+I197</f>
        <v>643369</v>
      </c>
      <c r="J187" s="47">
        <f>J189+J195+J197</f>
        <v>571358</v>
      </c>
      <c r="K187" s="38">
        <f>K189+K195+K197+K196</f>
        <v>0</v>
      </c>
    </row>
    <row r="188" spans="1:11" ht="15" hidden="1" customHeight="1" thickBot="1" x14ac:dyDescent="0.25">
      <c r="A188" s="82"/>
      <c r="B188" s="82"/>
      <c r="C188" s="83"/>
      <c r="D188" s="12"/>
      <c r="E188" s="13"/>
      <c r="F188" s="13"/>
      <c r="G188" s="13"/>
      <c r="H188" s="51"/>
      <c r="I188" s="52"/>
      <c r="J188" s="52"/>
      <c r="K188" s="39"/>
    </row>
    <row r="189" spans="1:11" ht="18" customHeight="1" x14ac:dyDescent="0.2">
      <c r="A189" s="84">
        <v>1</v>
      </c>
      <c r="B189" s="79" t="s">
        <v>78</v>
      </c>
      <c r="C189" s="25"/>
      <c r="D189" s="13">
        <f t="shared" ref="D189:D198" si="50">E189+G189</f>
        <v>425537</v>
      </c>
      <c r="E189" s="13">
        <f>SUM(E190:E194)</f>
        <v>425103</v>
      </c>
      <c r="F189" s="13">
        <f>SUM(F190:F194)</f>
        <v>272987</v>
      </c>
      <c r="G189" s="13">
        <f>SUM(G190:G194)</f>
        <v>434</v>
      </c>
      <c r="H189" s="52">
        <f t="shared" ref="H189:H198" si="51">I189+K189</f>
        <v>643369</v>
      </c>
      <c r="I189" s="52">
        <f>SUM(I190:I194)</f>
        <v>643369</v>
      </c>
      <c r="J189" s="52">
        <f>SUM(J190:J194)</f>
        <v>571358</v>
      </c>
      <c r="K189" s="39">
        <f>SUM(K190:K194)</f>
        <v>0</v>
      </c>
    </row>
    <row r="190" spans="1:11" ht="18" customHeight="1" x14ac:dyDescent="0.2">
      <c r="A190" s="84"/>
      <c r="B190" s="79"/>
      <c r="C190" s="21" t="s">
        <v>3</v>
      </c>
      <c r="D190" s="14">
        <f t="shared" si="50"/>
        <v>151447</v>
      </c>
      <c r="E190" s="15">
        <v>151447</v>
      </c>
      <c r="F190" s="15">
        <v>73316</v>
      </c>
      <c r="G190" s="15"/>
      <c r="H190" s="50">
        <f t="shared" si="51"/>
        <v>198410</v>
      </c>
      <c r="I190" s="48">
        <v>198410</v>
      </c>
      <c r="J190" s="48">
        <v>144060</v>
      </c>
      <c r="K190" s="36">
        <v>0</v>
      </c>
    </row>
    <row r="191" spans="1:11" ht="18" hidden="1" customHeight="1" x14ac:dyDescent="0.2">
      <c r="A191" s="84"/>
      <c r="B191" s="79"/>
      <c r="C191" s="21" t="s">
        <v>3</v>
      </c>
      <c r="D191" s="14">
        <f t="shared" si="50"/>
        <v>0</v>
      </c>
      <c r="E191" s="15"/>
      <c r="F191" s="15"/>
      <c r="G191" s="15"/>
      <c r="H191" s="50">
        <f t="shared" si="51"/>
        <v>0</v>
      </c>
      <c r="I191" s="48"/>
      <c r="J191" s="48"/>
      <c r="K191" s="36"/>
    </row>
    <row r="192" spans="1:11" ht="18" customHeight="1" x14ac:dyDescent="0.2">
      <c r="A192" s="84"/>
      <c r="B192" s="79"/>
      <c r="C192" s="21" t="s">
        <v>10</v>
      </c>
      <c r="D192" s="14">
        <f t="shared" si="50"/>
        <v>266350</v>
      </c>
      <c r="E192" s="15">
        <v>265916</v>
      </c>
      <c r="F192" s="15">
        <v>199671</v>
      </c>
      <c r="G192" s="15">
        <v>434</v>
      </c>
      <c r="H192" s="50">
        <f t="shared" si="51"/>
        <v>437490</v>
      </c>
      <c r="I192" s="48">
        <v>437490</v>
      </c>
      <c r="J192" s="48">
        <v>426150</v>
      </c>
      <c r="K192" s="36">
        <v>0</v>
      </c>
    </row>
    <row r="193" spans="1:11" ht="18" customHeight="1" x14ac:dyDescent="0.2">
      <c r="A193" s="84"/>
      <c r="B193" s="79"/>
      <c r="C193" s="21" t="s">
        <v>11</v>
      </c>
      <c r="D193" s="14">
        <f t="shared" si="50"/>
        <v>0</v>
      </c>
      <c r="E193" s="15"/>
      <c r="F193" s="15"/>
      <c r="G193" s="15"/>
      <c r="H193" s="50">
        <f t="shared" si="51"/>
        <v>3609</v>
      </c>
      <c r="I193" s="48">
        <v>3609</v>
      </c>
      <c r="J193" s="48">
        <v>393</v>
      </c>
      <c r="K193" s="36">
        <v>0</v>
      </c>
    </row>
    <row r="194" spans="1:11" ht="18" customHeight="1" x14ac:dyDescent="0.2">
      <c r="A194" s="84"/>
      <c r="B194" s="79"/>
      <c r="C194" s="21" t="s">
        <v>5</v>
      </c>
      <c r="D194" s="14">
        <f t="shared" si="50"/>
        <v>7740</v>
      </c>
      <c r="E194" s="15">
        <v>7740</v>
      </c>
      <c r="F194" s="15"/>
      <c r="G194" s="15"/>
      <c r="H194" s="50">
        <f t="shared" si="51"/>
        <v>3860</v>
      </c>
      <c r="I194" s="48">
        <v>3860</v>
      </c>
      <c r="J194" s="48">
        <v>755</v>
      </c>
      <c r="K194" s="36">
        <v>0</v>
      </c>
    </row>
    <row r="195" spans="1:11" ht="18" hidden="1" customHeight="1" x14ac:dyDescent="0.2">
      <c r="A195" s="84">
        <v>2</v>
      </c>
      <c r="B195" s="79" t="s">
        <v>24</v>
      </c>
      <c r="C195" s="21"/>
      <c r="D195" s="13">
        <f t="shared" si="50"/>
        <v>416</v>
      </c>
      <c r="E195" s="13">
        <f>SUM(E196:E196)</f>
        <v>416</v>
      </c>
      <c r="F195" s="13">
        <f>SUM(F196:F197)</f>
        <v>0</v>
      </c>
      <c r="G195" s="13">
        <f>SUM(G196:G197)</f>
        <v>0</v>
      </c>
      <c r="H195" s="52">
        <f t="shared" si="51"/>
        <v>0</v>
      </c>
      <c r="I195" s="52">
        <f>++I196</f>
        <v>0</v>
      </c>
      <c r="J195" s="52">
        <f>SUM(J196:J197)</f>
        <v>0</v>
      </c>
      <c r="K195" s="39"/>
    </row>
    <row r="196" spans="1:11" ht="33.6" hidden="1" customHeight="1" x14ac:dyDescent="0.2">
      <c r="A196" s="84"/>
      <c r="B196" s="79"/>
      <c r="C196" s="21" t="s">
        <v>3</v>
      </c>
      <c r="D196" s="14">
        <f t="shared" si="50"/>
        <v>416</v>
      </c>
      <c r="E196" s="15">
        <v>416</v>
      </c>
      <c r="F196" s="15"/>
      <c r="G196" s="15"/>
      <c r="H196" s="51">
        <f t="shared" si="51"/>
        <v>0</v>
      </c>
      <c r="I196" s="52">
        <v>0</v>
      </c>
      <c r="J196" s="52">
        <v>0</v>
      </c>
      <c r="K196" s="39"/>
    </row>
    <row r="197" spans="1:11" ht="33.6" hidden="1" customHeight="1" x14ac:dyDescent="0.2">
      <c r="A197" s="61">
        <v>5</v>
      </c>
      <c r="B197" s="62" t="s">
        <v>27</v>
      </c>
      <c r="C197" s="21" t="s">
        <v>8</v>
      </c>
      <c r="D197" s="12">
        <f t="shared" si="50"/>
        <v>1801</v>
      </c>
      <c r="E197" s="13">
        <v>1801</v>
      </c>
      <c r="F197" s="16"/>
      <c r="G197" s="16"/>
      <c r="H197" s="51">
        <f t="shared" si="51"/>
        <v>0</v>
      </c>
      <c r="I197" s="52"/>
      <c r="J197" s="52">
        <v>0</v>
      </c>
      <c r="K197" s="39">
        <v>0</v>
      </c>
    </row>
    <row r="198" spans="1:11" ht="24.6" hidden="1" customHeight="1" x14ac:dyDescent="0.2">
      <c r="A198" s="80" t="s">
        <v>80</v>
      </c>
      <c r="B198" s="80"/>
      <c r="C198" s="81"/>
      <c r="D198" s="11">
        <f t="shared" si="50"/>
        <v>234087</v>
      </c>
      <c r="E198" s="11">
        <f>E200+E206+E209</f>
        <v>234087</v>
      </c>
      <c r="F198" s="11">
        <f>F200+F206+F209</f>
        <v>152716</v>
      </c>
      <c r="G198" s="11">
        <f>G200+G206+G209</f>
        <v>0</v>
      </c>
      <c r="H198" s="47">
        <f t="shared" si="51"/>
        <v>0</v>
      </c>
      <c r="I198" s="47">
        <f>I200+I206+I209</f>
        <v>0</v>
      </c>
      <c r="J198" s="47">
        <f>J200+J206+J209</f>
        <v>0</v>
      </c>
      <c r="K198" s="38">
        <f>K200+K206+K209</f>
        <v>0</v>
      </c>
    </row>
    <row r="199" spans="1:11" ht="15" hidden="1" customHeight="1" x14ac:dyDescent="0.2">
      <c r="A199" s="82"/>
      <c r="B199" s="82"/>
      <c r="C199" s="83"/>
      <c r="D199" s="12"/>
      <c r="E199" s="13"/>
      <c r="F199" s="13"/>
      <c r="G199" s="13"/>
      <c r="H199" s="51"/>
      <c r="I199" s="52"/>
      <c r="J199" s="52"/>
      <c r="K199" s="39"/>
    </row>
    <row r="200" spans="1:11" ht="18" hidden="1" customHeight="1" x14ac:dyDescent="0.2">
      <c r="A200" s="84">
        <v>1</v>
      </c>
      <c r="B200" s="79" t="s">
        <v>78</v>
      </c>
      <c r="C200" s="25"/>
      <c r="D200" s="13">
        <f t="shared" ref="D200:D210" si="52">E200+G200</f>
        <v>224369</v>
      </c>
      <c r="E200" s="13">
        <f>SUM(E201:E205)</f>
        <v>224369</v>
      </c>
      <c r="F200" s="13">
        <f>SUM(F201:F205)</f>
        <v>152465</v>
      </c>
      <c r="G200" s="13">
        <f>SUM(G201:G205)</f>
        <v>0</v>
      </c>
      <c r="H200" s="52">
        <f t="shared" ref="H200:H210" si="53">I200+K200</f>
        <v>0</v>
      </c>
      <c r="I200" s="52">
        <f>SUM(I201:I205)</f>
        <v>0</v>
      </c>
      <c r="J200" s="52">
        <f>SUM(J201:J205)</f>
        <v>0</v>
      </c>
      <c r="K200" s="39">
        <f>SUM(K201:K205)</f>
        <v>0</v>
      </c>
    </row>
    <row r="201" spans="1:11" ht="18" hidden="1" customHeight="1" x14ac:dyDescent="0.2">
      <c r="A201" s="84"/>
      <c r="B201" s="79"/>
      <c r="C201" s="21" t="s">
        <v>3</v>
      </c>
      <c r="D201" s="14">
        <f t="shared" si="52"/>
        <v>59606</v>
      </c>
      <c r="E201" s="15">
        <v>59606</v>
      </c>
      <c r="F201" s="15">
        <v>32044</v>
      </c>
      <c r="G201" s="15"/>
      <c r="H201" s="50">
        <f t="shared" si="53"/>
        <v>0</v>
      </c>
      <c r="I201" s="48"/>
      <c r="J201" s="48"/>
      <c r="K201" s="36">
        <v>0</v>
      </c>
    </row>
    <row r="202" spans="1:11" ht="18" hidden="1" customHeight="1" x14ac:dyDescent="0.2">
      <c r="A202" s="84"/>
      <c r="B202" s="79"/>
      <c r="C202" s="21" t="s">
        <v>3</v>
      </c>
      <c r="D202" s="14">
        <f t="shared" si="52"/>
        <v>0</v>
      </c>
      <c r="E202" s="15"/>
      <c r="F202" s="15"/>
      <c r="G202" s="15"/>
      <c r="H202" s="50">
        <f t="shared" si="53"/>
        <v>0</v>
      </c>
      <c r="I202" s="48"/>
      <c r="J202" s="48"/>
      <c r="K202" s="36"/>
    </row>
    <row r="203" spans="1:11" ht="18" hidden="1" customHeight="1" x14ac:dyDescent="0.2">
      <c r="A203" s="84"/>
      <c r="B203" s="79"/>
      <c r="C203" s="21" t="s">
        <v>10</v>
      </c>
      <c r="D203" s="14">
        <f t="shared" si="52"/>
        <v>161164</v>
      </c>
      <c r="E203" s="15">
        <v>161164</v>
      </c>
      <c r="F203" s="15">
        <v>120421</v>
      </c>
      <c r="G203" s="15"/>
      <c r="H203" s="50">
        <f t="shared" si="53"/>
        <v>0</v>
      </c>
      <c r="I203" s="48"/>
      <c r="J203" s="48"/>
      <c r="K203" s="36">
        <v>0</v>
      </c>
    </row>
    <row r="204" spans="1:11" ht="18" hidden="1" customHeight="1" x14ac:dyDescent="0.2">
      <c r="A204" s="84"/>
      <c r="B204" s="79"/>
      <c r="C204" s="21" t="s">
        <v>11</v>
      </c>
      <c r="D204" s="14">
        <f t="shared" si="52"/>
        <v>0</v>
      </c>
      <c r="E204" s="15"/>
      <c r="F204" s="15"/>
      <c r="G204" s="15"/>
      <c r="H204" s="50">
        <f t="shared" si="53"/>
        <v>0</v>
      </c>
      <c r="I204" s="48"/>
      <c r="J204" s="48"/>
      <c r="K204" s="36">
        <v>0</v>
      </c>
    </row>
    <row r="205" spans="1:11" ht="18" hidden="1" customHeight="1" x14ac:dyDescent="0.2">
      <c r="A205" s="84"/>
      <c r="B205" s="79"/>
      <c r="C205" s="21" t="s">
        <v>5</v>
      </c>
      <c r="D205" s="14">
        <f t="shared" si="52"/>
        <v>3599</v>
      </c>
      <c r="E205" s="15">
        <v>3599</v>
      </c>
      <c r="F205" s="15"/>
      <c r="G205" s="15"/>
      <c r="H205" s="50">
        <f t="shared" si="53"/>
        <v>0</v>
      </c>
      <c r="I205" s="48"/>
      <c r="J205" s="48"/>
      <c r="K205" s="36">
        <v>0</v>
      </c>
    </row>
    <row r="206" spans="1:11" ht="30" hidden="1" customHeight="1" x14ac:dyDescent="0.2">
      <c r="A206" s="84">
        <v>4</v>
      </c>
      <c r="B206" s="79" t="s">
        <v>26</v>
      </c>
      <c r="C206" s="21" t="s">
        <v>8</v>
      </c>
      <c r="D206" s="13">
        <f t="shared" si="52"/>
        <v>8996</v>
      </c>
      <c r="E206" s="13">
        <f>SUM(E207:E208)</f>
        <v>8996</v>
      </c>
      <c r="F206" s="13">
        <f>SUM(F207:F209)</f>
        <v>251</v>
      </c>
      <c r="G206" s="13">
        <f>SUM(G207:G209)</f>
        <v>0</v>
      </c>
      <c r="H206" s="52">
        <f t="shared" si="53"/>
        <v>0</v>
      </c>
      <c r="I206" s="52"/>
      <c r="J206" s="52">
        <v>0</v>
      </c>
      <c r="K206" s="39">
        <f>SUM(K207:K209)</f>
        <v>0</v>
      </c>
    </row>
    <row r="207" spans="1:11" ht="18" hidden="1" customHeight="1" x14ac:dyDescent="0.2">
      <c r="A207" s="84"/>
      <c r="B207" s="79"/>
      <c r="C207" s="21" t="s">
        <v>8</v>
      </c>
      <c r="D207" s="14">
        <f t="shared" si="52"/>
        <v>8747</v>
      </c>
      <c r="E207" s="15">
        <v>8747</v>
      </c>
      <c r="F207" s="15">
        <v>251</v>
      </c>
      <c r="G207" s="15"/>
      <c r="H207" s="50">
        <f t="shared" si="53"/>
        <v>0</v>
      </c>
      <c r="I207" s="48"/>
      <c r="J207" s="48"/>
      <c r="K207" s="36"/>
    </row>
    <row r="208" spans="1:11" ht="18" hidden="1" customHeight="1" x14ac:dyDescent="0.2">
      <c r="A208" s="84"/>
      <c r="B208" s="79"/>
      <c r="C208" s="21" t="s">
        <v>6</v>
      </c>
      <c r="D208" s="14">
        <f t="shared" si="52"/>
        <v>249</v>
      </c>
      <c r="E208" s="15">
        <v>249</v>
      </c>
      <c r="F208" s="16"/>
      <c r="G208" s="16"/>
      <c r="H208" s="50">
        <f t="shared" si="53"/>
        <v>0</v>
      </c>
      <c r="I208" s="48"/>
      <c r="J208" s="48"/>
      <c r="K208" s="36"/>
    </row>
    <row r="209" spans="1:11" ht="30" hidden="1" customHeight="1" x14ac:dyDescent="0.2">
      <c r="A209" s="61">
        <v>5</v>
      </c>
      <c r="B209" s="62" t="s">
        <v>27</v>
      </c>
      <c r="C209" s="21" t="s">
        <v>8</v>
      </c>
      <c r="D209" s="12">
        <f t="shared" si="52"/>
        <v>722</v>
      </c>
      <c r="E209" s="13">
        <v>722</v>
      </c>
      <c r="F209" s="16"/>
      <c r="G209" s="16"/>
      <c r="H209" s="51">
        <f t="shared" si="53"/>
        <v>0</v>
      </c>
      <c r="I209" s="52"/>
      <c r="J209" s="52">
        <v>0</v>
      </c>
      <c r="K209" s="39">
        <v>0</v>
      </c>
    </row>
    <row r="210" spans="1:11" ht="25.15" customHeight="1" x14ac:dyDescent="0.2">
      <c r="A210" s="80" t="s">
        <v>17</v>
      </c>
      <c r="B210" s="80"/>
      <c r="C210" s="81"/>
      <c r="D210" s="11">
        <f t="shared" si="52"/>
        <v>37110</v>
      </c>
      <c r="E210" s="11">
        <f>E212+E213+E216</f>
        <v>36647</v>
      </c>
      <c r="F210" s="11">
        <f>F212+F213+F216</f>
        <v>21819</v>
      </c>
      <c r="G210" s="11">
        <f>G212+G213+G216+G217</f>
        <v>463</v>
      </c>
      <c r="H210" s="47">
        <f t="shared" si="53"/>
        <v>72438</v>
      </c>
      <c r="I210" s="47">
        <f>+I211+I217+I218</f>
        <v>72438</v>
      </c>
      <c r="J210" s="47">
        <f t="shared" ref="J210:K210" si="54">+J211+J217+J218</f>
        <v>51300</v>
      </c>
      <c r="K210" s="47">
        <f t="shared" si="54"/>
        <v>0</v>
      </c>
    </row>
    <row r="211" spans="1:11" ht="15" customHeight="1" x14ac:dyDescent="0.2">
      <c r="A211" s="91">
        <v>1</v>
      </c>
      <c r="B211" s="88" t="s">
        <v>78</v>
      </c>
      <c r="C211" s="31"/>
      <c r="D211" s="12">
        <f>+D212+D216</f>
        <v>37110</v>
      </c>
      <c r="E211" s="13">
        <f>+E212+E216</f>
        <v>36647</v>
      </c>
      <c r="F211" s="13">
        <f>+F212+F216</f>
        <v>21819</v>
      </c>
      <c r="G211" s="13">
        <f>+G212</f>
        <v>463</v>
      </c>
      <c r="H211" s="51">
        <f>+I211+K211</f>
        <v>71238</v>
      </c>
      <c r="I211" s="52">
        <f>+I212+I216+I213+I214+I215</f>
        <v>71238</v>
      </c>
      <c r="J211" s="52">
        <f t="shared" ref="J211:K211" si="55">+J212+J216+J213+J214+J215</f>
        <v>51300</v>
      </c>
      <c r="K211" s="39">
        <f t="shared" si="55"/>
        <v>0</v>
      </c>
    </row>
    <row r="212" spans="1:11" ht="18" customHeight="1" x14ac:dyDescent="0.2">
      <c r="A212" s="92"/>
      <c r="B212" s="89"/>
      <c r="C212" s="21" t="s">
        <v>3</v>
      </c>
      <c r="D212" s="14">
        <f>E212+G212</f>
        <v>36212</v>
      </c>
      <c r="E212" s="15">
        <f>34631+1118</f>
        <v>35749</v>
      </c>
      <c r="F212" s="15">
        <f>20965+854</f>
        <v>21819</v>
      </c>
      <c r="G212" s="15">
        <v>463</v>
      </c>
      <c r="H212" s="50">
        <f t="shared" ref="H212:H217" si="56">I212+K212</f>
        <v>64540</v>
      </c>
      <c r="I212" s="48">
        <v>64540</v>
      </c>
      <c r="J212" s="48">
        <v>51300</v>
      </c>
      <c r="K212" s="36">
        <v>0</v>
      </c>
    </row>
    <row r="213" spans="1:11" ht="18" hidden="1" customHeight="1" x14ac:dyDescent="0.2">
      <c r="A213" s="92"/>
      <c r="B213" s="89"/>
      <c r="C213" s="21" t="s">
        <v>10</v>
      </c>
      <c r="D213" s="14">
        <f>E213+G213</f>
        <v>0</v>
      </c>
      <c r="E213" s="15"/>
      <c r="F213" s="15"/>
      <c r="G213" s="15"/>
      <c r="H213" s="50">
        <f t="shared" si="56"/>
        <v>0</v>
      </c>
      <c r="I213" s="48"/>
      <c r="J213" s="48"/>
      <c r="K213" s="36">
        <v>0</v>
      </c>
    </row>
    <row r="214" spans="1:11" ht="18" hidden="1" customHeight="1" x14ac:dyDescent="0.2">
      <c r="A214" s="92"/>
      <c r="B214" s="89"/>
      <c r="C214" s="21" t="s">
        <v>77</v>
      </c>
      <c r="D214" s="14"/>
      <c r="E214" s="15"/>
      <c r="F214" s="15"/>
      <c r="G214" s="15"/>
      <c r="H214" s="50">
        <f t="shared" si="56"/>
        <v>0</v>
      </c>
      <c r="I214" s="48"/>
      <c r="J214" s="48">
        <v>0</v>
      </c>
      <c r="K214" s="36">
        <v>0</v>
      </c>
    </row>
    <row r="215" spans="1:11" ht="18" customHeight="1" x14ac:dyDescent="0.2">
      <c r="A215" s="92"/>
      <c r="B215" s="89"/>
      <c r="C215" s="21" t="s">
        <v>11</v>
      </c>
      <c r="D215" s="14"/>
      <c r="E215" s="15"/>
      <c r="F215" s="15"/>
      <c r="G215" s="15"/>
      <c r="H215" s="50">
        <f t="shared" ref="H215" si="57">I215+K215</f>
        <v>4488</v>
      </c>
      <c r="I215" s="48">
        <v>4488</v>
      </c>
      <c r="J215" s="48">
        <v>0</v>
      </c>
      <c r="K215" s="36">
        <v>0</v>
      </c>
    </row>
    <row r="216" spans="1:11" ht="18" customHeight="1" x14ac:dyDescent="0.2">
      <c r="A216" s="93"/>
      <c r="B216" s="90"/>
      <c r="C216" s="21" t="s">
        <v>5</v>
      </c>
      <c r="D216" s="14">
        <f>E216+G216</f>
        <v>898</v>
      </c>
      <c r="E216" s="15">
        <v>898</v>
      </c>
      <c r="F216" s="15"/>
      <c r="G216" s="15"/>
      <c r="H216" s="50">
        <f t="shared" si="56"/>
        <v>2210</v>
      </c>
      <c r="I216" s="48">
        <v>2210</v>
      </c>
      <c r="J216" s="48">
        <v>0</v>
      </c>
      <c r="K216" s="36">
        <v>0</v>
      </c>
    </row>
    <row r="217" spans="1:11" ht="29.45" customHeight="1" x14ac:dyDescent="0.2">
      <c r="A217" s="61">
        <v>2</v>
      </c>
      <c r="B217" s="62" t="s">
        <v>24</v>
      </c>
      <c r="C217" s="21" t="s">
        <v>3</v>
      </c>
      <c r="D217" s="26">
        <f>E217+G217</f>
        <v>0</v>
      </c>
      <c r="E217" s="18"/>
      <c r="F217" s="18"/>
      <c r="G217" s="18"/>
      <c r="H217" s="51">
        <f t="shared" si="56"/>
        <v>1200</v>
      </c>
      <c r="I217" s="52">
        <v>1200</v>
      </c>
      <c r="J217" s="52">
        <v>0</v>
      </c>
      <c r="K217" s="39">
        <v>0</v>
      </c>
    </row>
    <row r="218" spans="1:11" ht="29.45" hidden="1" customHeight="1" x14ac:dyDescent="0.2">
      <c r="A218" s="68">
        <v>5</v>
      </c>
      <c r="B218" s="67" t="s">
        <v>27</v>
      </c>
      <c r="C218" s="21" t="s">
        <v>8</v>
      </c>
      <c r="D218" s="26"/>
      <c r="E218" s="18"/>
      <c r="F218" s="18"/>
      <c r="G218" s="18"/>
      <c r="H218" s="51">
        <f t="shared" ref="H218" si="58">I218+K218</f>
        <v>0</v>
      </c>
      <c r="I218" s="52"/>
      <c r="J218" s="52">
        <v>0</v>
      </c>
      <c r="K218" s="39">
        <v>0</v>
      </c>
    </row>
    <row r="219" spans="1:11" ht="33" customHeight="1" x14ac:dyDescent="0.2">
      <c r="A219" s="80" t="s">
        <v>81</v>
      </c>
      <c r="B219" s="80"/>
      <c r="C219" s="81"/>
      <c r="D219" s="11">
        <f t="shared" ref="D219" si="59">E219+G219</f>
        <v>202480</v>
      </c>
      <c r="E219" s="11">
        <f>E221+E227+E230</f>
        <v>202480</v>
      </c>
      <c r="F219" s="11">
        <f>F221+F227+F230</f>
        <v>126017</v>
      </c>
      <c r="G219" s="11">
        <f>G221+G227+G230</f>
        <v>0</v>
      </c>
      <c r="H219" s="47">
        <f t="shared" ref="H219" si="60">I219+K219</f>
        <v>71160</v>
      </c>
      <c r="I219" s="47">
        <f>I221+I227+I230</f>
        <v>71160</v>
      </c>
      <c r="J219" s="47">
        <f>J221+J227+J230</f>
        <v>50555</v>
      </c>
      <c r="K219" s="38">
        <f>K221+K227+K230</f>
        <v>0</v>
      </c>
    </row>
    <row r="220" spans="1:11" ht="15" hidden="1" customHeight="1" x14ac:dyDescent="0.2">
      <c r="A220" s="82"/>
      <c r="B220" s="82"/>
      <c r="C220" s="83"/>
      <c r="D220" s="12"/>
      <c r="E220" s="13"/>
      <c r="F220" s="13"/>
      <c r="G220" s="13"/>
      <c r="H220" s="51"/>
      <c r="I220" s="52"/>
      <c r="J220" s="52"/>
      <c r="K220" s="39"/>
    </row>
    <row r="221" spans="1:11" ht="18" customHeight="1" x14ac:dyDescent="0.2">
      <c r="A221" s="84">
        <v>1</v>
      </c>
      <c r="B221" s="79" t="s">
        <v>78</v>
      </c>
      <c r="C221" s="24"/>
      <c r="D221" s="13">
        <f t="shared" ref="D221:D231" si="61">E221+G221</f>
        <v>195641</v>
      </c>
      <c r="E221" s="13">
        <f>E222+E223+E224+E225+E226</f>
        <v>195641</v>
      </c>
      <c r="F221" s="13">
        <f>F222+F223+F224+F225+F226</f>
        <v>125842</v>
      </c>
      <c r="G221" s="13">
        <f>G222+G223+G224+G225+G226</f>
        <v>0</v>
      </c>
      <c r="H221" s="52">
        <f t="shared" ref="H221:H231" si="62">I221+K221</f>
        <v>71160</v>
      </c>
      <c r="I221" s="52">
        <f>I222+I223+I224+I225+I226</f>
        <v>71160</v>
      </c>
      <c r="J221" s="52">
        <f>J222+J223+J224+J225+J226</f>
        <v>50555</v>
      </c>
      <c r="K221" s="39">
        <f>K222+K223+K224+K225+K226</f>
        <v>0</v>
      </c>
    </row>
    <row r="222" spans="1:11" ht="18" customHeight="1" x14ac:dyDescent="0.2">
      <c r="A222" s="84"/>
      <c r="B222" s="79"/>
      <c r="C222" s="21" t="s">
        <v>3</v>
      </c>
      <c r="D222" s="14">
        <f t="shared" si="61"/>
        <v>61366</v>
      </c>
      <c r="E222" s="15">
        <v>61366</v>
      </c>
      <c r="F222" s="15">
        <v>29092</v>
      </c>
      <c r="G222" s="15"/>
      <c r="H222" s="50">
        <f t="shared" si="62"/>
        <v>51140</v>
      </c>
      <c r="I222" s="48">
        <v>51140</v>
      </c>
      <c r="J222" s="48">
        <v>33550</v>
      </c>
      <c r="K222" s="36">
        <v>0</v>
      </c>
    </row>
    <row r="223" spans="1:11" ht="18" hidden="1" customHeight="1" x14ac:dyDescent="0.2">
      <c r="A223" s="84"/>
      <c r="B223" s="79"/>
      <c r="C223" s="21" t="s">
        <v>4</v>
      </c>
      <c r="D223" s="14">
        <f t="shared" si="61"/>
        <v>0</v>
      </c>
      <c r="E223" s="15"/>
      <c r="F223" s="15"/>
      <c r="G223" s="15"/>
      <c r="H223" s="50">
        <f t="shared" si="62"/>
        <v>0</v>
      </c>
      <c r="I223" s="48"/>
      <c r="J223" s="48"/>
      <c r="K223" s="36"/>
    </row>
    <row r="224" spans="1:11" ht="18" customHeight="1" x14ac:dyDescent="0.2">
      <c r="A224" s="84"/>
      <c r="B224" s="79"/>
      <c r="C224" s="21" t="s">
        <v>10</v>
      </c>
      <c r="D224" s="14">
        <f t="shared" si="61"/>
        <v>129140</v>
      </c>
      <c r="E224" s="15">
        <v>129140</v>
      </c>
      <c r="F224" s="15">
        <v>96750</v>
      </c>
      <c r="G224" s="15"/>
      <c r="H224" s="50">
        <f t="shared" si="62"/>
        <v>17560</v>
      </c>
      <c r="I224" s="48">
        <v>17560</v>
      </c>
      <c r="J224" s="48">
        <v>17005</v>
      </c>
      <c r="K224" s="36">
        <v>0</v>
      </c>
    </row>
    <row r="225" spans="1:11" ht="18" hidden="1" customHeight="1" x14ac:dyDescent="0.2">
      <c r="A225" s="84"/>
      <c r="B225" s="79"/>
      <c r="C225" s="21" t="s">
        <v>11</v>
      </c>
      <c r="D225" s="14">
        <f t="shared" si="61"/>
        <v>0</v>
      </c>
      <c r="E225" s="15"/>
      <c r="F225" s="15"/>
      <c r="G225" s="15"/>
      <c r="H225" s="50">
        <f t="shared" si="62"/>
        <v>0</v>
      </c>
      <c r="I225" s="48"/>
      <c r="J225" s="48">
        <v>0</v>
      </c>
      <c r="K225" s="36">
        <v>0</v>
      </c>
    </row>
    <row r="226" spans="1:11" ht="18" customHeight="1" x14ac:dyDescent="0.2">
      <c r="A226" s="84"/>
      <c r="B226" s="79"/>
      <c r="C226" s="21" t="s">
        <v>5</v>
      </c>
      <c r="D226" s="14">
        <f t="shared" si="61"/>
        <v>5135</v>
      </c>
      <c r="E226" s="15">
        <v>5135</v>
      </c>
      <c r="F226" s="15"/>
      <c r="G226" s="15"/>
      <c r="H226" s="50">
        <f t="shared" si="62"/>
        <v>2460</v>
      </c>
      <c r="I226" s="48">
        <v>2460</v>
      </c>
      <c r="J226" s="48">
        <v>0</v>
      </c>
      <c r="K226" s="36">
        <v>0</v>
      </c>
    </row>
    <row r="227" spans="1:11" ht="18" hidden="1" customHeight="1" x14ac:dyDescent="0.2">
      <c r="A227" s="84">
        <v>4</v>
      </c>
      <c r="B227" s="79" t="s">
        <v>26</v>
      </c>
      <c r="C227" s="21"/>
      <c r="D227" s="12">
        <f t="shared" si="61"/>
        <v>6116</v>
      </c>
      <c r="E227" s="13">
        <f>E228+E229</f>
        <v>6116</v>
      </c>
      <c r="F227" s="13">
        <f>F228+F229</f>
        <v>175</v>
      </c>
      <c r="G227" s="13">
        <f>G228+G229</f>
        <v>0</v>
      </c>
      <c r="H227" s="51">
        <f t="shared" si="62"/>
        <v>0</v>
      </c>
      <c r="I227" s="52"/>
      <c r="J227" s="52">
        <f>J228+J229</f>
        <v>0</v>
      </c>
      <c r="K227" s="39">
        <f>K228+K229</f>
        <v>0</v>
      </c>
    </row>
    <row r="228" spans="1:11" ht="18" hidden="1" customHeight="1" x14ac:dyDescent="0.2">
      <c r="A228" s="84"/>
      <c r="B228" s="79"/>
      <c r="C228" s="21" t="s">
        <v>6</v>
      </c>
      <c r="D228" s="14">
        <f t="shared" si="61"/>
        <v>43</v>
      </c>
      <c r="E228" s="15">
        <v>43</v>
      </c>
      <c r="F228" s="16"/>
      <c r="G228" s="16"/>
      <c r="H228" s="50">
        <f t="shared" si="62"/>
        <v>0</v>
      </c>
      <c r="I228" s="48"/>
      <c r="J228" s="48"/>
      <c r="K228" s="36"/>
    </row>
    <row r="229" spans="1:11" ht="27" hidden="1" customHeight="1" x14ac:dyDescent="0.2">
      <c r="A229" s="84"/>
      <c r="B229" s="79"/>
      <c r="C229" s="21" t="s">
        <v>8</v>
      </c>
      <c r="D229" s="14">
        <f t="shared" si="61"/>
        <v>6073</v>
      </c>
      <c r="E229" s="15">
        <v>6073</v>
      </c>
      <c r="F229" s="15">
        <v>175</v>
      </c>
      <c r="G229" s="15"/>
      <c r="H229" s="51">
        <f t="shared" si="62"/>
        <v>0</v>
      </c>
      <c r="I229" s="52"/>
      <c r="J229" s="52">
        <v>0</v>
      </c>
      <c r="K229" s="39">
        <v>0</v>
      </c>
    </row>
    <row r="230" spans="1:11" ht="30" hidden="1" customHeight="1" x14ac:dyDescent="0.2">
      <c r="A230" s="61">
        <v>5</v>
      </c>
      <c r="B230" s="62" t="s">
        <v>27</v>
      </c>
      <c r="C230" s="21" t="s">
        <v>8</v>
      </c>
      <c r="D230" s="12">
        <f t="shared" si="61"/>
        <v>723</v>
      </c>
      <c r="E230" s="13">
        <v>723</v>
      </c>
      <c r="F230" s="13"/>
      <c r="G230" s="13"/>
      <c r="H230" s="51">
        <f t="shared" si="62"/>
        <v>0</v>
      </c>
      <c r="I230" s="52"/>
      <c r="J230" s="52">
        <v>0</v>
      </c>
      <c r="K230" s="39">
        <v>0</v>
      </c>
    </row>
    <row r="231" spans="1:11" ht="23.45" hidden="1" customHeight="1" x14ac:dyDescent="0.2">
      <c r="A231" s="80" t="s">
        <v>88</v>
      </c>
      <c r="B231" s="80"/>
      <c r="C231" s="81"/>
      <c r="D231" s="11">
        <f t="shared" si="61"/>
        <v>260769</v>
      </c>
      <c r="E231" s="11">
        <f>E233+E241+E242</f>
        <v>258948</v>
      </c>
      <c r="F231" s="11">
        <f>F233+F241+F242</f>
        <v>166171</v>
      </c>
      <c r="G231" s="11">
        <f>G233+G241+G242</f>
        <v>1821</v>
      </c>
      <c r="H231" s="47">
        <f t="shared" si="62"/>
        <v>0</v>
      </c>
      <c r="I231" s="47">
        <f>I233+I239+I242</f>
        <v>0</v>
      </c>
      <c r="J231" s="47">
        <f>J233+J241+J242</f>
        <v>0</v>
      </c>
      <c r="K231" s="38">
        <f>K233+K241+K242</f>
        <v>0</v>
      </c>
    </row>
    <row r="232" spans="1:11" ht="15" hidden="1" customHeight="1" x14ac:dyDescent="0.2">
      <c r="A232" s="82"/>
      <c r="B232" s="82"/>
      <c r="C232" s="83"/>
      <c r="D232" s="12"/>
      <c r="E232" s="13"/>
      <c r="F232" s="13"/>
      <c r="G232" s="13"/>
      <c r="H232" s="51"/>
      <c r="I232" s="52"/>
      <c r="J232" s="52"/>
      <c r="K232" s="39"/>
    </row>
    <row r="233" spans="1:11" ht="18" hidden="1" customHeight="1" x14ac:dyDescent="0.2">
      <c r="A233" s="84">
        <v>1</v>
      </c>
      <c r="B233" s="79" t="s">
        <v>78</v>
      </c>
      <c r="C233" s="21"/>
      <c r="D233" s="12">
        <f t="shared" ref="D233:D243" si="63">E233+G233</f>
        <v>249283</v>
      </c>
      <c r="E233" s="13">
        <f>E234+E235+E236+E238</f>
        <v>247462</v>
      </c>
      <c r="F233" s="13">
        <f>F234+F235+F236+F238</f>
        <v>165893</v>
      </c>
      <c r="G233" s="13">
        <f>G234+G235+G236+G238</f>
        <v>1821</v>
      </c>
      <c r="H233" s="51">
        <f t="shared" ref="H233:H243" si="64">I233+K233</f>
        <v>0</v>
      </c>
      <c r="I233" s="52">
        <f>I234+I235+I236+I238+I237</f>
        <v>0</v>
      </c>
      <c r="J233" s="52">
        <f t="shared" ref="J233:K233" si="65">J234+J235+J236+J238+J237</f>
        <v>0</v>
      </c>
      <c r="K233" s="39">
        <f t="shared" si="65"/>
        <v>0</v>
      </c>
    </row>
    <row r="234" spans="1:11" ht="18" hidden="1" customHeight="1" x14ac:dyDescent="0.2">
      <c r="A234" s="84"/>
      <c r="B234" s="79"/>
      <c r="C234" s="21" t="s">
        <v>3</v>
      </c>
      <c r="D234" s="14">
        <f t="shared" si="63"/>
        <v>81244</v>
      </c>
      <c r="E234" s="15">
        <v>81244</v>
      </c>
      <c r="F234" s="15">
        <v>43310</v>
      </c>
      <c r="G234" s="15"/>
      <c r="H234" s="50">
        <f t="shared" si="64"/>
        <v>0</v>
      </c>
      <c r="I234" s="48"/>
      <c r="J234" s="48"/>
      <c r="K234" s="36">
        <v>0</v>
      </c>
    </row>
    <row r="235" spans="1:11" ht="18" hidden="1" customHeight="1" x14ac:dyDescent="0.2">
      <c r="A235" s="84"/>
      <c r="B235" s="79"/>
      <c r="C235" s="21" t="s">
        <v>4</v>
      </c>
      <c r="D235" s="14">
        <f t="shared" si="63"/>
        <v>0</v>
      </c>
      <c r="E235" s="15"/>
      <c r="F235" s="15"/>
      <c r="G235" s="15"/>
      <c r="H235" s="50">
        <f t="shared" si="64"/>
        <v>0</v>
      </c>
      <c r="I235" s="48"/>
      <c r="J235" s="48"/>
      <c r="K235" s="36"/>
    </row>
    <row r="236" spans="1:11" ht="18" hidden="1" customHeight="1" x14ac:dyDescent="0.2">
      <c r="A236" s="84"/>
      <c r="B236" s="79"/>
      <c r="C236" s="21" t="s">
        <v>10</v>
      </c>
      <c r="D236" s="14">
        <f t="shared" si="63"/>
        <v>163930</v>
      </c>
      <c r="E236" s="15">
        <v>162109</v>
      </c>
      <c r="F236" s="15">
        <v>122583</v>
      </c>
      <c r="G236" s="15">
        <v>1821</v>
      </c>
      <c r="H236" s="50">
        <f t="shared" si="64"/>
        <v>0</v>
      </c>
      <c r="I236" s="48"/>
      <c r="J236" s="48"/>
      <c r="K236" s="36">
        <v>0</v>
      </c>
    </row>
    <row r="237" spans="1:11" ht="18" hidden="1" customHeight="1" x14ac:dyDescent="0.2">
      <c r="A237" s="84"/>
      <c r="B237" s="79"/>
      <c r="C237" s="21" t="s">
        <v>11</v>
      </c>
      <c r="D237" s="14"/>
      <c r="E237" s="15"/>
      <c r="F237" s="15"/>
      <c r="G237" s="15"/>
      <c r="H237" s="50">
        <f t="shared" ref="H237" si="66">I237+K237</f>
        <v>0</v>
      </c>
      <c r="I237" s="48"/>
      <c r="J237" s="48"/>
      <c r="K237" s="36">
        <v>0</v>
      </c>
    </row>
    <row r="238" spans="1:11" ht="17.649999999999999" hidden="1" customHeight="1" x14ac:dyDescent="0.2">
      <c r="A238" s="84"/>
      <c r="B238" s="79"/>
      <c r="C238" s="21" t="s">
        <v>5</v>
      </c>
      <c r="D238" s="14">
        <f t="shared" si="63"/>
        <v>4109</v>
      </c>
      <c r="E238" s="15">
        <v>4109</v>
      </c>
      <c r="F238" s="15"/>
      <c r="G238" s="15"/>
      <c r="H238" s="50">
        <f t="shared" si="64"/>
        <v>0</v>
      </c>
      <c r="I238" s="48"/>
      <c r="J238" s="48"/>
      <c r="K238" s="36">
        <v>0</v>
      </c>
    </row>
    <row r="239" spans="1:11" ht="18" hidden="1" customHeight="1" x14ac:dyDescent="0.2">
      <c r="A239" s="85">
        <v>4</v>
      </c>
      <c r="B239" s="85" t="s">
        <v>26</v>
      </c>
      <c r="C239" s="21"/>
      <c r="D239" s="14"/>
      <c r="E239" s="15"/>
      <c r="F239" s="15"/>
      <c r="G239" s="15"/>
      <c r="H239" s="51">
        <f t="shared" si="64"/>
        <v>0</v>
      </c>
      <c r="I239" s="52">
        <f>+I240+I241</f>
        <v>0</v>
      </c>
      <c r="J239" s="52">
        <v>0</v>
      </c>
      <c r="K239" s="39">
        <v>0</v>
      </c>
    </row>
    <row r="240" spans="1:11" ht="18" hidden="1" customHeight="1" x14ac:dyDescent="0.2">
      <c r="A240" s="86"/>
      <c r="B240" s="86"/>
      <c r="C240" s="21" t="s">
        <v>3</v>
      </c>
      <c r="D240" s="14"/>
      <c r="E240" s="15"/>
      <c r="F240" s="15"/>
      <c r="G240" s="15"/>
      <c r="H240" s="50">
        <f t="shared" si="64"/>
        <v>0</v>
      </c>
      <c r="I240" s="48"/>
      <c r="J240" s="48">
        <v>0</v>
      </c>
      <c r="K240" s="36">
        <v>0</v>
      </c>
    </row>
    <row r="241" spans="1:11" ht="18" hidden="1" customHeight="1" x14ac:dyDescent="0.2">
      <c r="A241" s="87"/>
      <c r="B241" s="87"/>
      <c r="C241" s="21" t="s">
        <v>8</v>
      </c>
      <c r="D241" s="12">
        <f t="shared" si="63"/>
        <v>9681</v>
      </c>
      <c r="E241" s="13">
        <v>9681</v>
      </c>
      <c r="F241" s="13">
        <v>278</v>
      </c>
      <c r="G241" s="13"/>
      <c r="H241" s="50">
        <f t="shared" si="64"/>
        <v>0</v>
      </c>
      <c r="I241" s="48"/>
      <c r="J241" s="48">
        <v>0</v>
      </c>
      <c r="K241" s="36">
        <v>0</v>
      </c>
    </row>
    <row r="242" spans="1:11" ht="33" hidden="1" customHeight="1" x14ac:dyDescent="0.2">
      <c r="A242" s="61">
        <v>5</v>
      </c>
      <c r="B242" s="62" t="s">
        <v>27</v>
      </c>
      <c r="C242" s="21" t="s">
        <v>8</v>
      </c>
      <c r="D242" s="12">
        <f t="shared" si="63"/>
        <v>1805</v>
      </c>
      <c r="E242" s="13">
        <v>1805</v>
      </c>
      <c r="F242" s="13"/>
      <c r="G242" s="13"/>
      <c r="H242" s="51">
        <f t="shared" si="64"/>
        <v>0</v>
      </c>
      <c r="I242" s="52"/>
      <c r="J242" s="52">
        <v>0</v>
      </c>
      <c r="K242" s="39">
        <v>0</v>
      </c>
    </row>
    <row r="243" spans="1:11" ht="27" hidden="1" customHeight="1" x14ac:dyDescent="0.2">
      <c r="A243" s="80" t="s">
        <v>90</v>
      </c>
      <c r="B243" s="80"/>
      <c r="C243" s="81"/>
      <c r="D243" s="11">
        <f t="shared" si="63"/>
        <v>248805</v>
      </c>
      <c r="E243" s="11">
        <f>E245+E251+E254</f>
        <v>248400</v>
      </c>
      <c r="F243" s="11">
        <f>F245+F251+F254</f>
        <v>157796</v>
      </c>
      <c r="G243" s="11">
        <f>G245+G251+G254</f>
        <v>405</v>
      </c>
      <c r="H243" s="47">
        <f t="shared" si="64"/>
        <v>0</v>
      </c>
      <c r="I243" s="47">
        <f>I245+I251+I254</f>
        <v>0</v>
      </c>
      <c r="J243" s="47">
        <f>J245+J251+J254</f>
        <v>0</v>
      </c>
      <c r="K243" s="38">
        <f>K245+K251+K254</f>
        <v>0</v>
      </c>
    </row>
    <row r="244" spans="1:11" ht="15" hidden="1" customHeight="1" x14ac:dyDescent="0.2">
      <c r="A244" s="82"/>
      <c r="B244" s="82"/>
      <c r="C244" s="83"/>
      <c r="D244" s="12"/>
      <c r="E244" s="13"/>
      <c r="F244" s="13"/>
      <c r="G244" s="13"/>
      <c r="H244" s="51"/>
      <c r="I244" s="52"/>
      <c r="J244" s="52"/>
      <c r="K244" s="39"/>
    </row>
    <row r="245" spans="1:11" ht="18" hidden="1" customHeight="1" x14ac:dyDescent="0.2">
      <c r="A245" s="84">
        <v>1</v>
      </c>
      <c r="B245" s="79" t="s">
        <v>78</v>
      </c>
      <c r="C245" s="21"/>
      <c r="D245" s="26">
        <f t="shared" ref="D245:D255" si="67">E245+G245</f>
        <v>240678</v>
      </c>
      <c r="E245" s="13">
        <f>E246+E247+E248+E249+E250</f>
        <v>240273</v>
      </c>
      <c r="F245" s="13">
        <f>F246+F247+F248+F249+F250</f>
        <v>157592</v>
      </c>
      <c r="G245" s="13">
        <f>G246+G247+G248+G249+G250</f>
        <v>405</v>
      </c>
      <c r="H245" s="51">
        <f t="shared" ref="H245:H255" si="68">I245+K245</f>
        <v>0</v>
      </c>
      <c r="I245" s="52">
        <f>I246+I247+I248+I249+I250</f>
        <v>0</v>
      </c>
      <c r="J245" s="52">
        <f>J246+J247+J248+J249+J250</f>
        <v>0</v>
      </c>
      <c r="K245" s="39">
        <f>K246+K247+K248+K249+K250</f>
        <v>0</v>
      </c>
    </row>
    <row r="246" spans="1:11" ht="17.649999999999999" hidden="1" customHeight="1" x14ac:dyDescent="0.2">
      <c r="A246" s="84"/>
      <c r="B246" s="79"/>
      <c r="C246" s="21" t="s">
        <v>3</v>
      </c>
      <c r="D246" s="14">
        <f t="shared" si="67"/>
        <v>75837</v>
      </c>
      <c r="E246" s="15">
        <v>75837</v>
      </c>
      <c r="F246" s="15">
        <v>35369</v>
      </c>
      <c r="G246" s="15"/>
      <c r="H246" s="50">
        <f t="shared" si="68"/>
        <v>0</v>
      </c>
      <c r="I246" s="48"/>
      <c r="J246" s="48"/>
      <c r="K246" s="36">
        <v>0</v>
      </c>
    </row>
    <row r="247" spans="1:11" ht="18" hidden="1" customHeight="1" x14ac:dyDescent="0.2">
      <c r="A247" s="84"/>
      <c r="B247" s="79"/>
      <c r="C247" s="21" t="s">
        <v>4</v>
      </c>
      <c r="D247" s="14">
        <f t="shared" si="67"/>
        <v>0</v>
      </c>
      <c r="E247" s="15"/>
      <c r="F247" s="15"/>
      <c r="G247" s="15"/>
      <c r="H247" s="50">
        <f t="shared" si="68"/>
        <v>0</v>
      </c>
      <c r="I247" s="48"/>
      <c r="J247" s="48"/>
      <c r="K247" s="36"/>
    </row>
    <row r="248" spans="1:11" ht="17.649999999999999" hidden="1" customHeight="1" x14ac:dyDescent="0.2">
      <c r="A248" s="84"/>
      <c r="B248" s="79"/>
      <c r="C248" s="21" t="s">
        <v>10</v>
      </c>
      <c r="D248" s="14">
        <f t="shared" si="67"/>
        <v>163400</v>
      </c>
      <c r="E248" s="15">
        <v>162995</v>
      </c>
      <c r="F248" s="15">
        <v>122223</v>
      </c>
      <c r="G248" s="15">
        <v>405</v>
      </c>
      <c r="H248" s="50">
        <f t="shared" si="68"/>
        <v>0</v>
      </c>
      <c r="I248" s="48"/>
      <c r="J248" s="48"/>
      <c r="K248" s="36">
        <v>0</v>
      </c>
    </row>
    <row r="249" spans="1:11" ht="18" hidden="1" customHeight="1" x14ac:dyDescent="0.2">
      <c r="A249" s="84"/>
      <c r="B249" s="79"/>
      <c r="C249" s="21" t="s">
        <v>11</v>
      </c>
      <c r="D249" s="14">
        <f t="shared" si="67"/>
        <v>0</v>
      </c>
      <c r="E249" s="15"/>
      <c r="F249" s="15"/>
      <c r="G249" s="15"/>
      <c r="H249" s="50">
        <f t="shared" si="68"/>
        <v>0</v>
      </c>
      <c r="I249" s="48"/>
      <c r="J249" s="48"/>
      <c r="K249" s="36">
        <v>0</v>
      </c>
    </row>
    <row r="250" spans="1:11" ht="17.649999999999999" hidden="1" customHeight="1" x14ac:dyDescent="0.2">
      <c r="A250" s="84"/>
      <c r="B250" s="79"/>
      <c r="C250" s="21" t="s">
        <v>5</v>
      </c>
      <c r="D250" s="14">
        <f t="shared" si="67"/>
        <v>1441</v>
      </c>
      <c r="E250" s="15">
        <v>1441</v>
      </c>
      <c r="F250" s="15"/>
      <c r="G250" s="15"/>
      <c r="H250" s="50">
        <f t="shared" si="68"/>
        <v>0</v>
      </c>
      <c r="I250" s="48"/>
      <c r="J250" s="48"/>
      <c r="K250" s="36">
        <v>0</v>
      </c>
    </row>
    <row r="251" spans="1:11" ht="18" hidden="1" customHeight="1" x14ac:dyDescent="0.2">
      <c r="A251" s="84">
        <v>4</v>
      </c>
      <c r="B251" s="79" t="s">
        <v>26</v>
      </c>
      <c r="C251" s="21"/>
      <c r="D251" s="12">
        <f t="shared" si="67"/>
        <v>7405</v>
      </c>
      <c r="E251" s="13">
        <f>E252+E253</f>
        <v>7405</v>
      </c>
      <c r="F251" s="13">
        <f>F252+F253</f>
        <v>204</v>
      </c>
      <c r="G251" s="13">
        <f>G252+G253</f>
        <v>0</v>
      </c>
      <c r="H251" s="51">
        <f t="shared" si="68"/>
        <v>0</v>
      </c>
      <c r="I251" s="52">
        <f>+I252+I253</f>
        <v>0</v>
      </c>
      <c r="J251" s="52">
        <v>0</v>
      </c>
      <c r="K251" s="39">
        <f>K252+K253</f>
        <v>0</v>
      </c>
    </row>
    <row r="252" spans="1:11" ht="18" hidden="1" customHeight="1" x14ac:dyDescent="0.2">
      <c r="A252" s="84"/>
      <c r="B252" s="79"/>
      <c r="C252" s="21" t="s">
        <v>8</v>
      </c>
      <c r="D252" s="14">
        <f t="shared" si="67"/>
        <v>261</v>
      </c>
      <c r="E252" s="15">
        <v>261</v>
      </c>
      <c r="F252" s="15"/>
      <c r="G252" s="15"/>
      <c r="H252" s="50">
        <f t="shared" si="68"/>
        <v>0</v>
      </c>
      <c r="I252" s="48"/>
      <c r="J252" s="48">
        <v>0</v>
      </c>
      <c r="K252" s="36">
        <v>0</v>
      </c>
    </row>
    <row r="253" spans="1:11" ht="18" hidden="1" customHeight="1" x14ac:dyDescent="0.2">
      <c r="A253" s="84"/>
      <c r="B253" s="79"/>
      <c r="C253" s="21" t="s">
        <v>3</v>
      </c>
      <c r="D253" s="14">
        <f t="shared" si="67"/>
        <v>7144</v>
      </c>
      <c r="E253" s="15">
        <v>7144</v>
      </c>
      <c r="F253" s="15">
        <v>204</v>
      </c>
      <c r="G253" s="15"/>
      <c r="H253" s="50">
        <f t="shared" si="68"/>
        <v>0</v>
      </c>
      <c r="I253" s="48"/>
      <c r="J253" s="48">
        <v>0</v>
      </c>
      <c r="K253" s="36">
        <v>0</v>
      </c>
    </row>
    <row r="254" spans="1:11" ht="30.75" hidden="1" customHeight="1" x14ac:dyDescent="0.2">
      <c r="A254" s="61">
        <v>5</v>
      </c>
      <c r="B254" s="62" t="s">
        <v>27</v>
      </c>
      <c r="C254" s="21" t="s">
        <v>8</v>
      </c>
      <c r="D254" s="12">
        <f t="shared" si="67"/>
        <v>722</v>
      </c>
      <c r="E254" s="13">
        <v>722</v>
      </c>
      <c r="F254" s="16"/>
      <c r="G254" s="16"/>
      <c r="H254" s="51">
        <f t="shared" si="68"/>
        <v>0</v>
      </c>
      <c r="I254" s="52"/>
      <c r="J254" s="52">
        <v>0</v>
      </c>
      <c r="K254" s="39">
        <v>0</v>
      </c>
    </row>
    <row r="255" spans="1:11" ht="22.9" customHeight="1" x14ac:dyDescent="0.2">
      <c r="A255" s="80" t="s">
        <v>87</v>
      </c>
      <c r="B255" s="80"/>
      <c r="C255" s="81"/>
      <c r="D255" s="11" t="e">
        <f t="shared" si="67"/>
        <v>#REF!</v>
      </c>
      <c r="E255" s="11" t="e">
        <f>E257+E263+E264</f>
        <v>#REF!</v>
      </c>
      <c r="F255" s="11" t="e">
        <f>F257+F263+F264</f>
        <v>#REF!</v>
      </c>
      <c r="G255" s="11" t="e">
        <f>G257+G263+G264</f>
        <v>#REF!</v>
      </c>
      <c r="H255" s="47">
        <f t="shared" si="68"/>
        <v>441366</v>
      </c>
      <c r="I255" s="47">
        <f>I257+I263+I264</f>
        <v>441366</v>
      </c>
      <c r="J255" s="47">
        <f>J257+J263+J264</f>
        <v>379032</v>
      </c>
      <c r="K255" s="38">
        <f>K257+K263+K264</f>
        <v>0</v>
      </c>
    </row>
    <row r="256" spans="1:11" ht="15" hidden="1" customHeight="1" thickBot="1" x14ac:dyDescent="0.25">
      <c r="A256" s="82"/>
      <c r="B256" s="82"/>
      <c r="C256" s="83"/>
      <c r="D256" s="12"/>
      <c r="E256" s="13"/>
      <c r="F256" s="13"/>
      <c r="G256" s="13"/>
      <c r="H256" s="51"/>
      <c r="I256" s="52"/>
      <c r="J256" s="52"/>
      <c r="K256" s="39"/>
    </row>
    <row r="257" spans="1:12" ht="18" customHeight="1" x14ac:dyDescent="0.2">
      <c r="A257" s="84">
        <v>1</v>
      </c>
      <c r="B257" s="79" t="s">
        <v>78</v>
      </c>
      <c r="C257" s="21"/>
      <c r="D257" s="12">
        <f t="shared" ref="D257:D265" si="69">E257+G257</f>
        <v>261202</v>
      </c>
      <c r="E257" s="13">
        <f>E258+E259+E260+E261+E262</f>
        <v>260478</v>
      </c>
      <c r="F257" s="13">
        <f>F258+F259+F260+F261+F262</f>
        <v>170796</v>
      </c>
      <c r="G257" s="13">
        <f>G258+G259+G260+G261+G262</f>
        <v>724</v>
      </c>
      <c r="H257" s="51">
        <f t="shared" ref="H257:H265" si="70">I257+K257</f>
        <v>441366</v>
      </c>
      <c r="I257" s="52">
        <f>I258+I259+I260+I261+I262</f>
        <v>441366</v>
      </c>
      <c r="J257" s="52">
        <f>J258+J259+J260+J261+J262</f>
        <v>379032</v>
      </c>
      <c r="K257" s="39">
        <f>K258+K259+K260+K261+K262</f>
        <v>0</v>
      </c>
    </row>
    <row r="258" spans="1:12" ht="18" customHeight="1" x14ac:dyDescent="0.2">
      <c r="A258" s="84"/>
      <c r="B258" s="79"/>
      <c r="C258" s="21" t="s">
        <v>3</v>
      </c>
      <c r="D258" s="14">
        <f t="shared" si="69"/>
        <v>103462</v>
      </c>
      <c r="E258" s="15">
        <v>103462</v>
      </c>
      <c r="F258" s="15">
        <v>57069</v>
      </c>
      <c r="G258" s="15"/>
      <c r="H258" s="50">
        <f t="shared" si="70"/>
        <v>187300</v>
      </c>
      <c r="I258" s="48">
        <v>187300</v>
      </c>
      <c r="J258" s="48">
        <v>138300</v>
      </c>
      <c r="K258" s="36">
        <v>0</v>
      </c>
    </row>
    <row r="259" spans="1:12" ht="18" hidden="1" customHeight="1" x14ac:dyDescent="0.2">
      <c r="A259" s="84"/>
      <c r="B259" s="79"/>
      <c r="C259" s="21" t="s">
        <v>4</v>
      </c>
      <c r="D259" s="14">
        <f t="shared" si="69"/>
        <v>0</v>
      </c>
      <c r="E259" s="15"/>
      <c r="F259" s="15"/>
      <c r="G259" s="15"/>
      <c r="H259" s="50">
        <f t="shared" si="70"/>
        <v>0</v>
      </c>
      <c r="I259" s="48"/>
      <c r="J259" s="48"/>
      <c r="K259" s="36"/>
    </row>
    <row r="260" spans="1:12" ht="16.899999999999999" customHeight="1" x14ac:dyDescent="0.2">
      <c r="A260" s="84"/>
      <c r="B260" s="79"/>
      <c r="C260" s="21" t="s">
        <v>10</v>
      </c>
      <c r="D260" s="14">
        <f t="shared" si="69"/>
        <v>151992</v>
      </c>
      <c r="E260" s="15">
        <v>151268</v>
      </c>
      <c r="F260" s="15">
        <v>113727</v>
      </c>
      <c r="G260" s="15">
        <v>724</v>
      </c>
      <c r="H260" s="50">
        <f t="shared" si="70"/>
        <v>245955</v>
      </c>
      <c r="I260" s="48">
        <v>245955</v>
      </c>
      <c r="J260" s="48">
        <v>239380</v>
      </c>
      <c r="K260" s="36">
        <v>0</v>
      </c>
      <c r="L260" s="57" t="e">
        <f>#REF!+#REF!</f>
        <v>#REF!</v>
      </c>
    </row>
    <row r="261" spans="1:12" ht="18" customHeight="1" x14ac:dyDescent="0.2">
      <c r="A261" s="84"/>
      <c r="B261" s="79"/>
      <c r="C261" s="21" t="s">
        <v>11</v>
      </c>
      <c r="D261" s="14">
        <f t="shared" si="69"/>
        <v>0</v>
      </c>
      <c r="E261" s="15"/>
      <c r="F261" s="15"/>
      <c r="G261" s="15"/>
      <c r="H261" s="50">
        <f t="shared" si="70"/>
        <v>2181</v>
      </c>
      <c r="I261" s="48">
        <v>2181</v>
      </c>
      <c r="J261" s="48">
        <v>257</v>
      </c>
      <c r="K261" s="36">
        <v>0</v>
      </c>
    </row>
    <row r="262" spans="1:12" ht="17.649999999999999" customHeight="1" x14ac:dyDescent="0.2">
      <c r="A262" s="84"/>
      <c r="B262" s="79"/>
      <c r="C262" s="21" t="s">
        <v>5</v>
      </c>
      <c r="D262" s="14">
        <f t="shared" si="69"/>
        <v>5748</v>
      </c>
      <c r="E262" s="15">
        <v>5748</v>
      </c>
      <c r="F262" s="15"/>
      <c r="G262" s="15"/>
      <c r="H262" s="50">
        <f t="shared" si="70"/>
        <v>5930</v>
      </c>
      <c r="I262" s="48">
        <v>5930</v>
      </c>
      <c r="J262" s="48">
        <v>1095</v>
      </c>
      <c r="K262" s="36">
        <v>0</v>
      </c>
    </row>
    <row r="263" spans="1:12" ht="36" hidden="1" customHeight="1" x14ac:dyDescent="0.2">
      <c r="A263" s="72">
        <v>2</v>
      </c>
      <c r="B263" s="73" t="s">
        <v>24</v>
      </c>
      <c r="C263" s="21" t="s">
        <v>3</v>
      </c>
      <c r="D263" s="12" t="e">
        <f t="shared" si="69"/>
        <v>#REF!</v>
      </c>
      <c r="E263" s="13" t="e">
        <f>#REF!+#REF!</f>
        <v>#REF!</v>
      </c>
      <c r="F263" s="13" t="e">
        <f>#REF!+#REF!</f>
        <v>#REF!</v>
      </c>
      <c r="G263" s="13" t="e">
        <f>#REF!+#REF!</f>
        <v>#REF!</v>
      </c>
      <c r="H263" s="51">
        <f t="shared" si="70"/>
        <v>0</v>
      </c>
      <c r="I263" s="52"/>
      <c r="J263" s="52">
        <v>0</v>
      </c>
      <c r="K263" s="39"/>
    </row>
    <row r="264" spans="1:12" ht="30" hidden="1" customHeight="1" x14ac:dyDescent="0.2">
      <c r="A264" s="61">
        <v>5</v>
      </c>
      <c r="B264" s="62" t="s">
        <v>27</v>
      </c>
      <c r="C264" s="21" t="s">
        <v>8</v>
      </c>
      <c r="D264" s="12">
        <f t="shared" si="69"/>
        <v>719</v>
      </c>
      <c r="E264" s="13">
        <v>719</v>
      </c>
      <c r="F264" s="16"/>
      <c r="G264" s="16"/>
      <c r="H264" s="51">
        <f t="shared" si="70"/>
        <v>0</v>
      </c>
      <c r="I264" s="52"/>
      <c r="J264" s="52">
        <v>0</v>
      </c>
      <c r="K264" s="39">
        <v>0</v>
      </c>
    </row>
    <row r="265" spans="1:12" ht="24" hidden="1" customHeight="1" x14ac:dyDescent="0.2">
      <c r="A265" s="80" t="s">
        <v>18</v>
      </c>
      <c r="B265" s="80"/>
      <c r="C265" s="81"/>
      <c r="D265" s="11">
        <f t="shared" si="69"/>
        <v>348586</v>
      </c>
      <c r="E265" s="11">
        <f>E267+E273+E276</f>
        <v>348586</v>
      </c>
      <c r="F265" s="11">
        <f>F267+F273+F276</f>
        <v>207284</v>
      </c>
      <c r="G265" s="11">
        <f>G267+G273+G276</f>
        <v>0</v>
      </c>
      <c r="H265" s="47">
        <f t="shared" si="70"/>
        <v>0</v>
      </c>
      <c r="I265" s="47">
        <f>I267+I273+I276</f>
        <v>0</v>
      </c>
      <c r="J265" s="47">
        <f>J267+J273+J276</f>
        <v>0</v>
      </c>
      <c r="K265" s="38">
        <f>K267+K273+K276</f>
        <v>0</v>
      </c>
    </row>
    <row r="266" spans="1:12" ht="15" hidden="1" customHeight="1" x14ac:dyDescent="0.2">
      <c r="A266" s="82"/>
      <c r="B266" s="82"/>
      <c r="C266" s="83"/>
      <c r="D266" s="12"/>
      <c r="E266" s="13"/>
      <c r="F266" s="13"/>
      <c r="G266" s="13"/>
      <c r="H266" s="51"/>
      <c r="I266" s="52"/>
      <c r="J266" s="52"/>
      <c r="K266" s="39"/>
    </row>
    <row r="267" spans="1:12" ht="18" hidden="1" customHeight="1" x14ac:dyDescent="0.2">
      <c r="A267" s="84">
        <v>1</v>
      </c>
      <c r="B267" s="79" t="s">
        <v>78</v>
      </c>
      <c r="C267" s="60"/>
      <c r="D267" s="12">
        <f t="shared" ref="D267:D277" si="71">E267+G267</f>
        <v>330228</v>
      </c>
      <c r="E267" s="13">
        <f>E268+E269+E270+E271+E272</f>
        <v>330228</v>
      </c>
      <c r="F267" s="13">
        <f>F268+F269+F270+F271+F272</f>
        <v>206778</v>
      </c>
      <c r="G267" s="13">
        <f>G268+G269+G270+G271+G272</f>
        <v>0</v>
      </c>
      <c r="H267" s="51">
        <f t="shared" ref="H267:H277" si="72">I267+K267</f>
        <v>0</v>
      </c>
      <c r="I267" s="52">
        <f>I268+I269+I270+I271+I272</f>
        <v>0</v>
      </c>
      <c r="J267" s="52">
        <f>J268+J269+J270+J271+J272</f>
        <v>0</v>
      </c>
      <c r="K267" s="39">
        <f>K268+K269+K270+K271+K272</f>
        <v>0</v>
      </c>
    </row>
    <row r="268" spans="1:12" ht="18" hidden="1" customHeight="1" x14ac:dyDescent="0.2">
      <c r="A268" s="84"/>
      <c r="B268" s="79"/>
      <c r="C268" s="21" t="s">
        <v>3</v>
      </c>
      <c r="D268" s="14">
        <f t="shared" si="71"/>
        <v>90170</v>
      </c>
      <c r="E268" s="15">
        <v>90170</v>
      </c>
      <c r="F268" s="15">
        <v>43730</v>
      </c>
      <c r="G268" s="15"/>
      <c r="H268" s="50">
        <f t="shared" si="72"/>
        <v>0</v>
      </c>
      <c r="I268" s="48"/>
      <c r="J268" s="48"/>
      <c r="K268" s="36">
        <v>0</v>
      </c>
    </row>
    <row r="269" spans="1:12" ht="18" hidden="1" customHeight="1" x14ac:dyDescent="0.2">
      <c r="A269" s="84"/>
      <c r="B269" s="79"/>
      <c r="C269" s="21" t="s">
        <v>4</v>
      </c>
      <c r="D269" s="14">
        <f t="shared" si="71"/>
        <v>0</v>
      </c>
      <c r="E269" s="15"/>
      <c r="F269" s="15"/>
      <c r="G269" s="15"/>
      <c r="H269" s="55">
        <f t="shared" si="72"/>
        <v>0</v>
      </c>
      <c r="I269" s="49"/>
      <c r="J269" s="49"/>
      <c r="K269" s="15"/>
    </row>
    <row r="270" spans="1:12" ht="18" hidden="1" customHeight="1" x14ac:dyDescent="0.2">
      <c r="A270" s="84"/>
      <c r="B270" s="79"/>
      <c r="C270" s="21" t="s">
        <v>10</v>
      </c>
      <c r="D270" s="14">
        <f t="shared" si="71"/>
        <v>222186</v>
      </c>
      <c r="E270" s="15">
        <v>222186</v>
      </c>
      <c r="F270" s="15">
        <v>163048</v>
      </c>
      <c r="G270" s="15"/>
      <c r="H270" s="50">
        <f t="shared" si="72"/>
        <v>0</v>
      </c>
      <c r="I270" s="48"/>
      <c r="J270" s="48"/>
      <c r="K270" s="36">
        <v>0</v>
      </c>
    </row>
    <row r="271" spans="1:12" ht="18" hidden="1" customHeight="1" x14ac:dyDescent="0.2">
      <c r="A271" s="84"/>
      <c r="B271" s="79"/>
      <c r="C271" s="21" t="s">
        <v>11</v>
      </c>
      <c r="D271" s="14">
        <f t="shared" si="71"/>
        <v>0</v>
      </c>
      <c r="E271" s="15"/>
      <c r="F271" s="15"/>
      <c r="G271" s="15"/>
      <c r="H271" s="50">
        <f t="shared" si="72"/>
        <v>0</v>
      </c>
      <c r="I271" s="48"/>
      <c r="J271" s="48"/>
      <c r="K271" s="36">
        <v>0</v>
      </c>
    </row>
    <row r="272" spans="1:12" ht="18" hidden="1" customHeight="1" x14ac:dyDescent="0.2">
      <c r="A272" s="84"/>
      <c r="B272" s="79"/>
      <c r="C272" s="21" t="s">
        <v>5</v>
      </c>
      <c r="D272" s="14">
        <f t="shared" si="71"/>
        <v>17872</v>
      </c>
      <c r="E272" s="15">
        <v>17872</v>
      </c>
      <c r="F272" s="15"/>
      <c r="G272" s="15"/>
      <c r="H272" s="50">
        <f t="shared" si="72"/>
        <v>0</v>
      </c>
      <c r="I272" s="48"/>
      <c r="J272" s="48">
        <v>0</v>
      </c>
      <c r="K272" s="36">
        <v>0</v>
      </c>
    </row>
    <row r="273" spans="1:11" ht="18" hidden="1" customHeight="1" x14ac:dyDescent="0.2">
      <c r="A273" s="84">
        <v>4</v>
      </c>
      <c r="B273" s="79" t="s">
        <v>26</v>
      </c>
      <c r="C273" s="21"/>
      <c r="D273" s="12">
        <f t="shared" si="71"/>
        <v>17995</v>
      </c>
      <c r="E273" s="13">
        <f>E274+E275</f>
        <v>17995</v>
      </c>
      <c r="F273" s="13">
        <f>F274+F275</f>
        <v>506</v>
      </c>
      <c r="G273" s="13">
        <f>G274+G275</f>
        <v>0</v>
      </c>
      <c r="H273" s="51">
        <f t="shared" si="72"/>
        <v>0</v>
      </c>
      <c r="I273" s="52">
        <f>I274+I275</f>
        <v>0</v>
      </c>
      <c r="J273" s="52">
        <f>J274+J275</f>
        <v>0</v>
      </c>
      <c r="K273" s="39">
        <f>K274+K275</f>
        <v>0</v>
      </c>
    </row>
    <row r="274" spans="1:11" ht="18" hidden="1" customHeight="1" x14ac:dyDescent="0.2">
      <c r="A274" s="84"/>
      <c r="B274" s="79"/>
      <c r="C274" s="21" t="s">
        <v>6</v>
      </c>
      <c r="D274" s="14">
        <f t="shared" si="71"/>
        <v>208</v>
      </c>
      <c r="E274" s="15">
        <v>208</v>
      </c>
      <c r="F274" s="16"/>
      <c r="G274" s="16"/>
      <c r="H274" s="50">
        <f t="shared" si="72"/>
        <v>0</v>
      </c>
      <c r="I274" s="48"/>
      <c r="J274" s="48"/>
      <c r="K274" s="36"/>
    </row>
    <row r="275" spans="1:11" ht="18" hidden="1" customHeight="1" x14ac:dyDescent="0.2">
      <c r="A275" s="84"/>
      <c r="B275" s="79"/>
      <c r="C275" s="21" t="s">
        <v>8</v>
      </c>
      <c r="D275" s="14">
        <f t="shared" si="71"/>
        <v>17787</v>
      </c>
      <c r="E275" s="15">
        <v>17787</v>
      </c>
      <c r="F275" s="15">
        <v>506</v>
      </c>
      <c r="G275" s="15"/>
      <c r="H275" s="50">
        <f t="shared" si="72"/>
        <v>0</v>
      </c>
      <c r="I275" s="48">
        <v>0</v>
      </c>
      <c r="J275" s="48">
        <v>0</v>
      </c>
      <c r="K275" s="36">
        <v>0</v>
      </c>
    </row>
    <row r="276" spans="1:11" ht="30.75" hidden="1" customHeight="1" x14ac:dyDescent="0.2">
      <c r="A276" s="61">
        <v>5</v>
      </c>
      <c r="B276" s="62" t="s">
        <v>27</v>
      </c>
      <c r="C276" s="21" t="s">
        <v>8</v>
      </c>
      <c r="D276" s="12">
        <f t="shared" si="71"/>
        <v>363</v>
      </c>
      <c r="E276" s="13">
        <v>363</v>
      </c>
      <c r="F276" s="16"/>
      <c r="G276" s="16"/>
      <c r="H276" s="51">
        <f t="shared" si="72"/>
        <v>0</v>
      </c>
      <c r="I276" s="52">
        <v>0</v>
      </c>
      <c r="J276" s="52">
        <v>0</v>
      </c>
      <c r="K276" s="39">
        <v>0</v>
      </c>
    </row>
    <row r="277" spans="1:11" ht="24.6" customHeight="1" x14ac:dyDescent="0.2">
      <c r="A277" s="80" t="s">
        <v>19</v>
      </c>
      <c r="B277" s="80"/>
      <c r="C277" s="81"/>
      <c r="D277" s="11">
        <f t="shared" si="71"/>
        <v>274739</v>
      </c>
      <c r="E277" s="11">
        <f>E279+E284+E285</f>
        <v>271409</v>
      </c>
      <c r="F277" s="11">
        <f>F279+F284+F285</f>
        <v>185809</v>
      </c>
      <c r="G277" s="11">
        <f>G279+G284+G285</f>
        <v>3330</v>
      </c>
      <c r="H277" s="47">
        <f t="shared" si="72"/>
        <v>369015</v>
      </c>
      <c r="I277" s="47">
        <f>I279+I284+I285</f>
        <v>369015</v>
      </c>
      <c r="J277" s="47">
        <f>J279+J284+J285</f>
        <v>338085</v>
      </c>
      <c r="K277" s="38">
        <f>K279+K284+K285</f>
        <v>0</v>
      </c>
    </row>
    <row r="278" spans="1:11" ht="15" hidden="1" customHeight="1" x14ac:dyDescent="0.2">
      <c r="A278" s="82"/>
      <c r="B278" s="82"/>
      <c r="C278" s="83"/>
      <c r="D278" s="12"/>
      <c r="E278" s="13"/>
      <c r="F278" s="13"/>
      <c r="G278" s="13"/>
      <c r="H278" s="51"/>
      <c r="I278" s="52"/>
      <c r="J278" s="52"/>
      <c r="K278" s="39"/>
    </row>
    <row r="279" spans="1:11" ht="18" customHeight="1" x14ac:dyDescent="0.2">
      <c r="A279" s="84">
        <v>1</v>
      </c>
      <c r="B279" s="79" t="s">
        <v>78</v>
      </c>
      <c r="C279" s="21"/>
      <c r="D279" s="12">
        <f t="shared" ref="D279:D286" si="73">E279+G279</f>
        <v>273424</v>
      </c>
      <c r="E279" s="13">
        <f>E280+E281+E282+E283</f>
        <v>270094</v>
      </c>
      <c r="F279" s="13">
        <f>F280+F281+F282+F283</f>
        <v>185809</v>
      </c>
      <c r="G279" s="13">
        <f>G280+G281+G282+G283</f>
        <v>3330</v>
      </c>
      <c r="H279" s="51">
        <f t="shared" ref="H279:H286" si="74">I279+K279</f>
        <v>368915</v>
      </c>
      <c r="I279" s="52">
        <f>I280+I281+I282+I283</f>
        <v>368915</v>
      </c>
      <c r="J279" s="52">
        <f>J280+J281+J282+J283</f>
        <v>338085</v>
      </c>
      <c r="K279" s="39">
        <f>K280+K281+K282+K283</f>
        <v>0</v>
      </c>
    </row>
    <row r="280" spans="1:11" ht="18" customHeight="1" x14ac:dyDescent="0.2">
      <c r="A280" s="84"/>
      <c r="B280" s="79"/>
      <c r="C280" s="21" t="s">
        <v>3</v>
      </c>
      <c r="D280" s="14">
        <f t="shared" si="73"/>
        <v>219563</v>
      </c>
      <c r="E280" s="15">
        <f>219279+284</f>
        <v>219563</v>
      </c>
      <c r="F280" s="15">
        <f>163557+217</f>
        <v>163774</v>
      </c>
      <c r="G280" s="15"/>
      <c r="H280" s="50">
        <f t="shared" si="74"/>
        <v>331600</v>
      </c>
      <c r="I280" s="48">
        <v>331600</v>
      </c>
      <c r="J280" s="48">
        <v>321450</v>
      </c>
      <c r="K280" s="36">
        <v>0</v>
      </c>
    </row>
    <row r="281" spans="1:11" ht="18" customHeight="1" x14ac:dyDescent="0.2">
      <c r="A281" s="84"/>
      <c r="B281" s="79"/>
      <c r="C281" s="21" t="s">
        <v>10</v>
      </c>
      <c r="D281" s="14">
        <f t="shared" si="73"/>
        <v>28861</v>
      </c>
      <c r="E281" s="15">
        <v>28861</v>
      </c>
      <c r="F281" s="15">
        <v>22035</v>
      </c>
      <c r="G281" s="15"/>
      <c r="H281" s="50">
        <f t="shared" si="74"/>
        <v>16875</v>
      </c>
      <c r="I281" s="48">
        <v>16875</v>
      </c>
      <c r="J281" s="48">
        <v>16635</v>
      </c>
      <c r="K281" s="36">
        <v>0</v>
      </c>
    </row>
    <row r="282" spans="1:11" ht="18" hidden="1" customHeight="1" x14ac:dyDescent="0.2">
      <c r="A282" s="84"/>
      <c r="B282" s="79"/>
      <c r="C282" s="21" t="s">
        <v>11</v>
      </c>
      <c r="D282" s="14">
        <f t="shared" si="73"/>
        <v>0</v>
      </c>
      <c r="E282" s="15"/>
      <c r="F282" s="15"/>
      <c r="G282" s="15"/>
      <c r="H282" s="50">
        <f t="shared" si="74"/>
        <v>0</v>
      </c>
      <c r="I282" s="48"/>
      <c r="J282" s="48"/>
      <c r="K282" s="36">
        <v>0</v>
      </c>
    </row>
    <row r="283" spans="1:11" ht="18" customHeight="1" x14ac:dyDescent="0.2">
      <c r="A283" s="84"/>
      <c r="B283" s="79"/>
      <c r="C283" s="21" t="s">
        <v>5</v>
      </c>
      <c r="D283" s="14">
        <f t="shared" si="73"/>
        <v>25000</v>
      </c>
      <c r="E283" s="15">
        <v>21670</v>
      </c>
      <c r="F283" s="15"/>
      <c r="G283" s="15">
        <v>3330</v>
      </c>
      <c r="H283" s="50">
        <f t="shared" si="74"/>
        <v>20440</v>
      </c>
      <c r="I283" s="48">
        <v>20440</v>
      </c>
      <c r="J283" s="48">
        <v>0</v>
      </c>
      <c r="K283" s="36">
        <v>0</v>
      </c>
    </row>
    <row r="284" spans="1:11" ht="28.15" customHeight="1" x14ac:dyDescent="0.2">
      <c r="A284" s="61">
        <v>4</v>
      </c>
      <c r="B284" s="62" t="s">
        <v>26</v>
      </c>
      <c r="C284" s="21" t="s">
        <v>3</v>
      </c>
      <c r="D284" s="12">
        <f t="shared" si="73"/>
        <v>599</v>
      </c>
      <c r="E284" s="13">
        <v>599</v>
      </c>
      <c r="F284" s="16"/>
      <c r="G284" s="16"/>
      <c r="H284" s="51">
        <f t="shared" si="74"/>
        <v>100</v>
      </c>
      <c r="I284" s="52">
        <v>100</v>
      </c>
      <c r="J284" s="52">
        <v>0</v>
      </c>
      <c r="K284" s="39">
        <v>0</v>
      </c>
    </row>
    <row r="285" spans="1:11" ht="34.5" hidden="1" customHeight="1" x14ac:dyDescent="0.2">
      <c r="A285" s="61">
        <v>5</v>
      </c>
      <c r="B285" s="62" t="s">
        <v>27</v>
      </c>
      <c r="C285" s="21" t="s">
        <v>8</v>
      </c>
      <c r="D285" s="12">
        <f t="shared" si="73"/>
        <v>716</v>
      </c>
      <c r="E285" s="13">
        <v>716</v>
      </c>
      <c r="F285" s="16"/>
      <c r="G285" s="16"/>
      <c r="H285" s="51">
        <f t="shared" si="74"/>
        <v>0</v>
      </c>
      <c r="I285" s="52">
        <v>0</v>
      </c>
      <c r="J285" s="52">
        <v>0</v>
      </c>
      <c r="K285" s="39">
        <v>0</v>
      </c>
    </row>
    <row r="286" spans="1:11" ht="28.15" customHeight="1" x14ac:dyDescent="0.2">
      <c r="A286" s="80" t="s">
        <v>20</v>
      </c>
      <c r="B286" s="80"/>
      <c r="C286" s="81"/>
      <c r="D286" s="11">
        <f t="shared" si="73"/>
        <v>107763</v>
      </c>
      <c r="E286" s="11">
        <f>E288+E294</f>
        <v>106315</v>
      </c>
      <c r="F286" s="11">
        <f>F288+F294</f>
        <v>57646</v>
      </c>
      <c r="G286" s="11">
        <f>G288+G294</f>
        <v>1448</v>
      </c>
      <c r="H286" s="47">
        <f t="shared" si="74"/>
        <v>190421</v>
      </c>
      <c r="I286" s="47">
        <f>I288+I294</f>
        <v>189921</v>
      </c>
      <c r="J286" s="47">
        <f>J288+J294</f>
        <v>158800</v>
      </c>
      <c r="K286" s="38">
        <f>K288+K294</f>
        <v>500</v>
      </c>
    </row>
    <row r="287" spans="1:11" ht="15" hidden="1" customHeight="1" x14ac:dyDescent="0.2">
      <c r="A287" s="82"/>
      <c r="B287" s="82"/>
      <c r="C287" s="83"/>
      <c r="D287" s="12"/>
      <c r="E287" s="13"/>
      <c r="F287" s="13"/>
      <c r="G287" s="13"/>
      <c r="H287" s="51"/>
      <c r="I287" s="52"/>
      <c r="J287" s="52"/>
      <c r="K287" s="39"/>
    </row>
    <row r="288" spans="1:11" ht="18" customHeight="1" x14ac:dyDescent="0.2">
      <c r="A288" s="84">
        <v>1</v>
      </c>
      <c r="B288" s="79" t="s">
        <v>78</v>
      </c>
      <c r="C288" s="21"/>
      <c r="D288" s="12">
        <f t="shared" ref="D288:D295" si="75">E288+G288</f>
        <v>104154</v>
      </c>
      <c r="E288" s="13">
        <f>E289+E290+E293</f>
        <v>102706</v>
      </c>
      <c r="F288" s="13">
        <f>F289+F290+F293</f>
        <v>57646</v>
      </c>
      <c r="G288" s="13">
        <f>G289+G290+G293</f>
        <v>1448</v>
      </c>
      <c r="H288" s="51">
        <f t="shared" ref="H288:H295" si="76">I288+K288</f>
        <v>190421</v>
      </c>
      <c r="I288" s="52">
        <f>I289+I290+I293+I291+I292</f>
        <v>189921</v>
      </c>
      <c r="J288" s="52">
        <f t="shared" ref="J288:K288" si="77">J289+J290+J293+J291+J292</f>
        <v>158800</v>
      </c>
      <c r="K288" s="39">
        <f t="shared" si="77"/>
        <v>500</v>
      </c>
    </row>
    <row r="289" spans="1:11" ht="18" customHeight="1" x14ac:dyDescent="0.2">
      <c r="A289" s="84"/>
      <c r="B289" s="79"/>
      <c r="C289" s="21" t="s">
        <v>3</v>
      </c>
      <c r="D289" s="14">
        <f t="shared" si="75"/>
        <v>103887</v>
      </c>
      <c r="E289" s="15">
        <f>97950+4489</f>
        <v>102439</v>
      </c>
      <c r="F289" s="15">
        <f>54228+3418</f>
        <v>57646</v>
      </c>
      <c r="G289" s="15">
        <v>1448</v>
      </c>
      <c r="H289" s="50">
        <f t="shared" si="76"/>
        <v>184550</v>
      </c>
      <c r="I289" s="48">
        <v>184050</v>
      </c>
      <c r="J289" s="48">
        <v>156450</v>
      </c>
      <c r="K289" s="36">
        <v>500</v>
      </c>
    </row>
    <row r="290" spans="1:11" ht="18" hidden="1" customHeight="1" x14ac:dyDescent="0.2">
      <c r="A290" s="84"/>
      <c r="B290" s="79"/>
      <c r="C290" s="21" t="s">
        <v>10</v>
      </c>
      <c r="D290" s="14">
        <f t="shared" si="75"/>
        <v>0</v>
      </c>
      <c r="E290" s="15"/>
      <c r="F290" s="15"/>
      <c r="G290" s="15"/>
      <c r="H290" s="55">
        <f t="shared" si="76"/>
        <v>0</v>
      </c>
      <c r="I290" s="49"/>
      <c r="J290" s="49"/>
      <c r="K290" s="15">
        <v>0</v>
      </c>
    </row>
    <row r="291" spans="1:11" ht="18" hidden="1" customHeight="1" x14ac:dyDescent="0.2">
      <c r="A291" s="84"/>
      <c r="B291" s="79"/>
      <c r="C291" s="21" t="s">
        <v>77</v>
      </c>
      <c r="D291" s="14"/>
      <c r="E291" s="15"/>
      <c r="F291" s="15"/>
      <c r="G291" s="15"/>
      <c r="H291" s="55">
        <f t="shared" si="76"/>
        <v>0</v>
      </c>
      <c r="I291" s="49"/>
      <c r="J291" s="49">
        <v>0</v>
      </c>
      <c r="K291" s="15">
        <v>0</v>
      </c>
    </row>
    <row r="292" spans="1:11" ht="18" customHeight="1" x14ac:dyDescent="0.2">
      <c r="A292" s="84"/>
      <c r="B292" s="79"/>
      <c r="C292" s="21" t="s">
        <v>11</v>
      </c>
      <c r="D292" s="14"/>
      <c r="E292" s="15"/>
      <c r="F292" s="15"/>
      <c r="G292" s="15"/>
      <c r="H292" s="55">
        <f t="shared" ref="H292" si="78">I292+K292</f>
        <v>3441</v>
      </c>
      <c r="I292" s="49">
        <f>2385+1056</f>
        <v>3441</v>
      </c>
      <c r="J292" s="49">
        <v>2350</v>
      </c>
      <c r="K292" s="15">
        <v>0</v>
      </c>
    </row>
    <row r="293" spans="1:11" ht="18" customHeight="1" x14ac:dyDescent="0.2">
      <c r="A293" s="84"/>
      <c r="B293" s="79"/>
      <c r="C293" s="21" t="s">
        <v>5</v>
      </c>
      <c r="D293" s="14">
        <f t="shared" si="75"/>
        <v>267</v>
      </c>
      <c r="E293" s="15">
        <v>267</v>
      </c>
      <c r="F293" s="15"/>
      <c r="G293" s="15"/>
      <c r="H293" s="50">
        <f t="shared" si="76"/>
        <v>2430</v>
      </c>
      <c r="I293" s="48">
        <v>2430</v>
      </c>
      <c r="J293" s="49">
        <v>0</v>
      </c>
      <c r="K293" s="15">
        <v>0</v>
      </c>
    </row>
    <row r="294" spans="1:11" ht="28.5" hidden="1" customHeight="1" x14ac:dyDescent="0.2">
      <c r="A294" s="61">
        <v>5</v>
      </c>
      <c r="B294" s="62" t="s">
        <v>27</v>
      </c>
      <c r="C294" s="21" t="s">
        <v>8</v>
      </c>
      <c r="D294" s="12">
        <f t="shared" si="75"/>
        <v>3609</v>
      </c>
      <c r="E294" s="13">
        <v>3609</v>
      </c>
      <c r="F294" s="16"/>
      <c r="G294" s="16"/>
      <c r="H294" s="51">
        <f t="shared" si="76"/>
        <v>0</v>
      </c>
      <c r="I294" s="52"/>
      <c r="J294" s="52">
        <v>0</v>
      </c>
      <c r="K294" s="39">
        <v>0</v>
      </c>
    </row>
    <row r="295" spans="1:11" ht="26.45" customHeight="1" x14ac:dyDescent="0.2">
      <c r="A295" s="80" t="s">
        <v>50</v>
      </c>
      <c r="B295" s="80"/>
      <c r="C295" s="81"/>
      <c r="D295" s="11">
        <f t="shared" si="75"/>
        <v>147109</v>
      </c>
      <c r="E295" s="11">
        <f>E297+E298+E299+E300+E302+E301</f>
        <v>143609</v>
      </c>
      <c r="F295" s="11">
        <f>F297+F298+F299+F300</f>
        <v>79293</v>
      </c>
      <c r="G295" s="11">
        <f>G297+G298+G299+G300</f>
        <v>3500</v>
      </c>
      <c r="H295" s="47">
        <f t="shared" si="76"/>
        <v>252830</v>
      </c>
      <c r="I295" s="47">
        <f>I297+I298+I299+I300+I302+I301</f>
        <v>248450</v>
      </c>
      <c r="J295" s="47">
        <f>J297+J298+J299+J300</f>
        <v>199650</v>
      </c>
      <c r="K295" s="38">
        <f>K297+K298+K299+K300</f>
        <v>4380</v>
      </c>
    </row>
    <row r="296" spans="1:11" ht="15" customHeight="1" x14ac:dyDescent="0.2">
      <c r="A296" s="85">
        <v>1</v>
      </c>
      <c r="B296" s="88" t="s">
        <v>78</v>
      </c>
      <c r="C296" s="60"/>
      <c r="D296" s="12">
        <f t="shared" ref="D296:G296" si="79">+D297+D298+D300</f>
        <v>147109</v>
      </c>
      <c r="E296" s="13">
        <f t="shared" si="79"/>
        <v>143609</v>
      </c>
      <c r="F296" s="13">
        <f t="shared" si="79"/>
        <v>79293</v>
      </c>
      <c r="G296" s="13">
        <f t="shared" si="79"/>
        <v>3500</v>
      </c>
      <c r="H296" s="51">
        <f>+I296+K296</f>
        <v>252680</v>
      </c>
      <c r="I296" s="52">
        <f>+I297+I298+I300+I299</f>
        <v>248300</v>
      </c>
      <c r="J296" s="52">
        <f t="shared" ref="J296:K296" si="80">+J297+J298+J300+J299</f>
        <v>199650</v>
      </c>
      <c r="K296" s="52">
        <f t="shared" si="80"/>
        <v>4380</v>
      </c>
    </row>
    <row r="297" spans="1:11" ht="18" customHeight="1" x14ac:dyDescent="0.2">
      <c r="A297" s="114"/>
      <c r="B297" s="116"/>
      <c r="C297" s="21" t="s">
        <v>3</v>
      </c>
      <c r="D297" s="14">
        <f t="shared" ref="D297:D303" si="81">E297+G297</f>
        <v>123676</v>
      </c>
      <c r="E297" s="15">
        <v>121504</v>
      </c>
      <c r="F297" s="15">
        <v>66715</v>
      </c>
      <c r="G297" s="15">
        <v>2172</v>
      </c>
      <c r="H297" s="50">
        <f t="shared" ref="H297:H303" si="82">I297+K297</f>
        <v>226280</v>
      </c>
      <c r="I297" s="48">
        <f>101400+122900</f>
        <v>224300</v>
      </c>
      <c r="J297" s="48">
        <f>70420+115120</f>
        <v>185540</v>
      </c>
      <c r="K297" s="36">
        <v>1980</v>
      </c>
    </row>
    <row r="298" spans="1:11" ht="18" customHeight="1" x14ac:dyDescent="0.2">
      <c r="A298" s="114"/>
      <c r="B298" s="116"/>
      <c r="C298" s="21" t="s">
        <v>10</v>
      </c>
      <c r="D298" s="14">
        <f t="shared" si="81"/>
        <v>16475</v>
      </c>
      <c r="E298" s="15">
        <v>16475</v>
      </c>
      <c r="F298" s="15">
        <v>12578</v>
      </c>
      <c r="G298" s="15"/>
      <c r="H298" s="50">
        <f t="shared" si="82"/>
        <v>14000</v>
      </c>
      <c r="I298" s="48">
        <v>14000</v>
      </c>
      <c r="J298" s="48">
        <v>13800</v>
      </c>
      <c r="K298" s="36">
        <v>0</v>
      </c>
    </row>
    <row r="299" spans="1:11" ht="18" hidden="1" customHeight="1" x14ac:dyDescent="0.2">
      <c r="A299" s="114"/>
      <c r="B299" s="116"/>
      <c r="C299" s="21" t="s">
        <v>11</v>
      </c>
      <c r="D299" s="14">
        <f t="shared" si="81"/>
        <v>0</v>
      </c>
      <c r="E299" s="15"/>
      <c r="F299" s="15"/>
      <c r="G299" s="15"/>
      <c r="H299" s="50">
        <f t="shared" si="82"/>
        <v>0</v>
      </c>
      <c r="I299" s="48"/>
      <c r="J299" s="48"/>
      <c r="K299" s="36">
        <v>0</v>
      </c>
    </row>
    <row r="300" spans="1:11" ht="18" customHeight="1" x14ac:dyDescent="0.2">
      <c r="A300" s="115"/>
      <c r="B300" s="117"/>
      <c r="C300" s="21" t="s">
        <v>5</v>
      </c>
      <c r="D300" s="14">
        <f t="shared" si="81"/>
        <v>6958</v>
      </c>
      <c r="E300" s="15">
        <v>5630</v>
      </c>
      <c r="F300" s="15"/>
      <c r="G300" s="15">
        <v>1328</v>
      </c>
      <c r="H300" s="50">
        <f t="shared" si="82"/>
        <v>12400</v>
      </c>
      <c r="I300" s="48">
        <f>1900+8100</f>
        <v>10000</v>
      </c>
      <c r="J300" s="48">
        <v>310</v>
      </c>
      <c r="K300" s="36">
        <v>2400</v>
      </c>
    </row>
    <row r="301" spans="1:11" ht="28.15" customHeight="1" x14ac:dyDescent="0.2">
      <c r="A301" s="61">
        <v>4</v>
      </c>
      <c r="B301" s="62" t="s">
        <v>26</v>
      </c>
      <c r="C301" s="21" t="s">
        <v>3</v>
      </c>
      <c r="D301" s="12">
        <f t="shared" si="81"/>
        <v>0</v>
      </c>
      <c r="E301" s="13">
        <v>0</v>
      </c>
      <c r="F301" s="16"/>
      <c r="G301" s="16"/>
      <c r="H301" s="51">
        <f t="shared" si="82"/>
        <v>150</v>
      </c>
      <c r="I301" s="52">
        <v>150</v>
      </c>
      <c r="J301" s="52">
        <v>0</v>
      </c>
      <c r="K301" s="39">
        <v>0</v>
      </c>
    </row>
    <row r="302" spans="1:11" ht="28.5" hidden="1" customHeight="1" x14ac:dyDescent="0.2">
      <c r="A302" s="61">
        <v>5</v>
      </c>
      <c r="B302" s="62" t="s">
        <v>27</v>
      </c>
      <c r="C302" s="21" t="s">
        <v>8</v>
      </c>
      <c r="D302" s="26">
        <f t="shared" si="81"/>
        <v>0</v>
      </c>
      <c r="E302" s="13">
        <v>0</v>
      </c>
      <c r="F302" s="15"/>
      <c r="G302" s="15"/>
      <c r="H302" s="51">
        <f t="shared" si="82"/>
        <v>0</v>
      </c>
      <c r="I302" s="52">
        <v>0</v>
      </c>
      <c r="J302" s="52">
        <v>0</v>
      </c>
      <c r="K302" s="39">
        <v>0</v>
      </c>
    </row>
    <row r="303" spans="1:11" ht="25.15" customHeight="1" x14ac:dyDescent="0.2">
      <c r="A303" s="80" t="s">
        <v>21</v>
      </c>
      <c r="B303" s="80"/>
      <c r="C303" s="81"/>
      <c r="D303" s="11">
        <f t="shared" si="81"/>
        <v>113867</v>
      </c>
      <c r="E303" s="11">
        <f>E305+E314</f>
        <v>112911</v>
      </c>
      <c r="F303" s="11">
        <f>F305+F314</f>
        <v>61549</v>
      </c>
      <c r="G303" s="11">
        <f>G305+G314</f>
        <v>956</v>
      </c>
      <c r="H303" s="47">
        <f t="shared" si="82"/>
        <v>181975</v>
      </c>
      <c r="I303" s="47">
        <f>I305+I314+I311</f>
        <v>181975</v>
      </c>
      <c r="J303" s="47">
        <f t="shared" ref="J303:K303" si="83">J305+J314+J311</f>
        <v>141050</v>
      </c>
      <c r="K303" s="47">
        <f t="shared" si="83"/>
        <v>0</v>
      </c>
    </row>
    <row r="304" spans="1:11" ht="15" hidden="1" customHeight="1" x14ac:dyDescent="0.2">
      <c r="A304" s="82"/>
      <c r="B304" s="82"/>
      <c r="C304" s="83"/>
      <c r="D304" s="12"/>
      <c r="E304" s="13"/>
      <c r="F304" s="13"/>
      <c r="G304" s="13"/>
      <c r="H304" s="51"/>
      <c r="I304" s="52"/>
      <c r="J304" s="52"/>
      <c r="K304" s="39"/>
    </row>
    <row r="305" spans="1:11" ht="18" customHeight="1" x14ac:dyDescent="0.2">
      <c r="A305" s="84">
        <v>1</v>
      </c>
      <c r="B305" s="79" t="s">
        <v>78</v>
      </c>
      <c r="C305" s="21"/>
      <c r="D305" s="12">
        <f t="shared" ref="D305:D314" si="84">E305+G305</f>
        <v>113501</v>
      </c>
      <c r="E305" s="13">
        <f>E306+E307+E308+E310</f>
        <v>112545</v>
      </c>
      <c r="F305" s="13">
        <f>F306+F307+F308+F310</f>
        <v>61549</v>
      </c>
      <c r="G305" s="13">
        <f>G306+G307+G308+G310</f>
        <v>956</v>
      </c>
      <c r="H305" s="51">
        <f t="shared" ref="H305:H314" si="85">I305+K305</f>
        <v>157675</v>
      </c>
      <c r="I305" s="52">
        <f>I306+I307+I308+I310+I309</f>
        <v>157675</v>
      </c>
      <c r="J305" s="52">
        <f t="shared" ref="J305:K305" si="86">J306+J307+J308+J310+J309</f>
        <v>128730</v>
      </c>
      <c r="K305" s="52">
        <f t="shared" si="86"/>
        <v>0</v>
      </c>
    </row>
    <row r="306" spans="1:11" ht="18" customHeight="1" x14ac:dyDescent="0.2">
      <c r="A306" s="84"/>
      <c r="B306" s="79"/>
      <c r="C306" s="21" t="s">
        <v>3</v>
      </c>
      <c r="D306" s="14">
        <f t="shared" si="84"/>
        <v>57416</v>
      </c>
      <c r="E306" s="15">
        <v>57416</v>
      </c>
      <c r="F306" s="15">
        <v>40531</v>
      </c>
      <c r="G306" s="15"/>
      <c r="H306" s="50">
        <f t="shared" si="85"/>
        <v>99500</v>
      </c>
      <c r="I306" s="48">
        <v>99500</v>
      </c>
      <c r="J306" s="48">
        <v>94800</v>
      </c>
      <c r="K306" s="15">
        <v>0</v>
      </c>
    </row>
    <row r="307" spans="1:11" ht="18" customHeight="1" x14ac:dyDescent="0.2">
      <c r="A307" s="84"/>
      <c r="B307" s="79"/>
      <c r="C307" s="21" t="s">
        <v>10</v>
      </c>
      <c r="D307" s="14">
        <f t="shared" si="84"/>
        <v>27528</v>
      </c>
      <c r="E307" s="15">
        <v>27528</v>
      </c>
      <c r="F307" s="15">
        <v>21018</v>
      </c>
      <c r="G307" s="15"/>
      <c r="H307" s="50">
        <f t="shared" si="85"/>
        <v>34425</v>
      </c>
      <c r="I307" s="48">
        <v>34425</v>
      </c>
      <c r="J307" s="48">
        <v>33930</v>
      </c>
      <c r="K307" s="36">
        <v>0</v>
      </c>
    </row>
    <row r="308" spans="1:11" ht="18" hidden="1" customHeight="1" x14ac:dyDescent="0.2">
      <c r="A308" s="84"/>
      <c r="B308" s="79"/>
      <c r="C308" s="21" t="s">
        <v>77</v>
      </c>
      <c r="D308" s="14">
        <f t="shared" si="84"/>
        <v>0</v>
      </c>
      <c r="E308" s="15"/>
      <c r="F308" s="15"/>
      <c r="G308" s="15"/>
      <c r="H308" s="50">
        <f t="shared" si="85"/>
        <v>0</v>
      </c>
      <c r="I308" s="48"/>
      <c r="J308" s="48"/>
      <c r="K308" s="36">
        <v>0</v>
      </c>
    </row>
    <row r="309" spans="1:11" ht="18" hidden="1" customHeight="1" x14ac:dyDescent="0.2">
      <c r="A309" s="84"/>
      <c r="B309" s="79"/>
      <c r="C309" s="21" t="s">
        <v>11</v>
      </c>
      <c r="D309" s="14"/>
      <c r="E309" s="15"/>
      <c r="F309" s="15"/>
      <c r="G309" s="15"/>
      <c r="H309" s="50">
        <f t="shared" ref="H309" si="87">I309+K309</f>
        <v>0</v>
      </c>
      <c r="I309" s="48"/>
      <c r="J309" s="48"/>
      <c r="K309" s="36">
        <v>0</v>
      </c>
    </row>
    <row r="310" spans="1:11" ht="18" customHeight="1" x14ac:dyDescent="0.2">
      <c r="A310" s="84"/>
      <c r="B310" s="79"/>
      <c r="C310" s="21" t="s">
        <v>5</v>
      </c>
      <c r="D310" s="14">
        <f t="shared" si="84"/>
        <v>28557</v>
      </c>
      <c r="E310" s="15">
        <v>27601</v>
      </c>
      <c r="F310" s="15"/>
      <c r="G310" s="15">
        <v>956</v>
      </c>
      <c r="H310" s="50">
        <f t="shared" si="85"/>
        <v>23750</v>
      </c>
      <c r="I310" s="48">
        <v>23750</v>
      </c>
      <c r="J310" s="48">
        <v>0</v>
      </c>
      <c r="K310" s="36">
        <v>0</v>
      </c>
    </row>
    <row r="311" spans="1:11" ht="18" customHeight="1" x14ac:dyDescent="0.2">
      <c r="A311" s="85">
        <v>4</v>
      </c>
      <c r="B311" s="85" t="s">
        <v>26</v>
      </c>
      <c r="C311" s="21"/>
      <c r="D311" s="14"/>
      <c r="E311" s="15"/>
      <c r="F311" s="15"/>
      <c r="G311" s="15"/>
      <c r="H311" s="51">
        <f>+I311+K311</f>
        <v>24300</v>
      </c>
      <c r="I311" s="52">
        <f>+I312+I313</f>
        <v>24300</v>
      </c>
      <c r="J311" s="52">
        <f>+J312+J313</f>
        <v>12320</v>
      </c>
      <c r="K311" s="39">
        <f>+K312+K313</f>
        <v>0</v>
      </c>
    </row>
    <row r="312" spans="1:11" ht="18" customHeight="1" x14ac:dyDescent="0.2">
      <c r="A312" s="86"/>
      <c r="B312" s="86"/>
      <c r="C312" s="21" t="s">
        <v>3</v>
      </c>
      <c r="D312" s="12">
        <f t="shared" si="84"/>
        <v>0</v>
      </c>
      <c r="E312" s="13">
        <v>0</v>
      </c>
      <c r="F312" s="16"/>
      <c r="G312" s="16"/>
      <c r="H312" s="50">
        <f t="shared" si="85"/>
        <v>9900</v>
      </c>
      <c r="I312" s="48">
        <v>9900</v>
      </c>
      <c r="J312" s="48">
        <v>0</v>
      </c>
      <c r="K312" s="36">
        <v>0</v>
      </c>
    </row>
    <row r="313" spans="1:11" ht="18" customHeight="1" x14ac:dyDescent="0.2">
      <c r="A313" s="87"/>
      <c r="B313" s="87"/>
      <c r="C313" s="21" t="s">
        <v>11</v>
      </c>
      <c r="D313" s="12"/>
      <c r="E313" s="13"/>
      <c r="F313" s="16"/>
      <c r="G313" s="16"/>
      <c r="H313" s="50">
        <f t="shared" ref="H313" si="88">I313+K313</f>
        <v>14400</v>
      </c>
      <c r="I313" s="48">
        <v>14400</v>
      </c>
      <c r="J313" s="48">
        <v>12320</v>
      </c>
      <c r="K313" s="36">
        <v>0</v>
      </c>
    </row>
    <row r="314" spans="1:11" ht="28.15" hidden="1" customHeight="1" x14ac:dyDescent="0.2">
      <c r="A314" s="61">
        <v>5</v>
      </c>
      <c r="B314" s="62" t="s">
        <v>27</v>
      </c>
      <c r="C314" s="21" t="s">
        <v>8</v>
      </c>
      <c r="D314" s="12">
        <f t="shared" si="84"/>
        <v>366</v>
      </c>
      <c r="E314" s="13">
        <v>366</v>
      </c>
      <c r="F314" s="16"/>
      <c r="G314" s="16"/>
      <c r="H314" s="51">
        <f t="shared" si="85"/>
        <v>0</v>
      </c>
      <c r="I314" s="52">
        <v>0</v>
      </c>
      <c r="J314" s="52">
        <v>0</v>
      </c>
      <c r="K314" s="39">
        <v>0</v>
      </c>
    </row>
    <row r="315" spans="1:11" ht="27" customHeight="1" x14ac:dyDescent="0.2">
      <c r="A315" s="80" t="s">
        <v>22</v>
      </c>
      <c r="B315" s="80"/>
      <c r="C315" s="81"/>
      <c r="D315" s="11">
        <f>E315+G315</f>
        <v>18527</v>
      </c>
      <c r="E315" s="11">
        <f>E317</f>
        <v>18527</v>
      </c>
      <c r="F315" s="11">
        <f>F317</f>
        <v>12788</v>
      </c>
      <c r="G315" s="11">
        <f>G316</f>
        <v>0</v>
      </c>
      <c r="H315" s="47">
        <f>I315+K315</f>
        <v>56800</v>
      </c>
      <c r="I315" s="47">
        <f>I317</f>
        <v>56800</v>
      </c>
      <c r="J315" s="47">
        <f>J317</f>
        <v>50000</v>
      </c>
      <c r="K315" s="38">
        <f>K316</f>
        <v>0</v>
      </c>
    </row>
    <row r="316" spans="1:11" ht="15" hidden="1" customHeight="1" x14ac:dyDescent="0.2">
      <c r="A316" s="82"/>
      <c r="B316" s="82"/>
      <c r="C316" s="83"/>
      <c r="D316" s="12"/>
      <c r="E316" s="13"/>
      <c r="F316" s="13"/>
      <c r="G316" s="13"/>
      <c r="H316" s="51"/>
      <c r="I316" s="52"/>
      <c r="J316" s="52"/>
      <c r="K316" s="39"/>
    </row>
    <row r="317" spans="1:11" ht="28.15" customHeight="1" x14ac:dyDescent="0.2">
      <c r="A317" s="61">
        <v>5</v>
      </c>
      <c r="B317" s="62" t="s">
        <v>27</v>
      </c>
      <c r="C317" s="21" t="s">
        <v>3</v>
      </c>
      <c r="D317" s="12">
        <f>E317+G317</f>
        <v>18527</v>
      </c>
      <c r="E317" s="16">
        <v>18527</v>
      </c>
      <c r="F317" s="16">
        <v>12788</v>
      </c>
      <c r="G317" s="16"/>
      <c r="H317" s="50">
        <f>I317+K317</f>
        <v>56800</v>
      </c>
      <c r="I317" s="48">
        <v>56800</v>
      </c>
      <c r="J317" s="48">
        <v>50000</v>
      </c>
      <c r="K317" s="36">
        <v>0</v>
      </c>
    </row>
    <row r="318" spans="1:11" ht="25.9" customHeight="1" x14ac:dyDescent="0.2">
      <c r="A318" s="80" t="s">
        <v>23</v>
      </c>
      <c r="B318" s="80"/>
      <c r="C318" s="81"/>
      <c r="D318" s="11">
        <f>E318+G318</f>
        <v>188014</v>
      </c>
      <c r="E318" s="11">
        <f>E320+E324</f>
        <v>188014</v>
      </c>
      <c r="F318" s="11">
        <f>F320</f>
        <v>103250</v>
      </c>
      <c r="G318" s="11">
        <f>G319</f>
        <v>0</v>
      </c>
      <c r="H318" s="47">
        <f>I318+K318</f>
        <v>514700</v>
      </c>
      <c r="I318" s="47">
        <f>I320+I324</f>
        <v>514700</v>
      </c>
      <c r="J318" s="47">
        <f>J320</f>
        <v>468200</v>
      </c>
      <c r="K318" s="38">
        <f>+K320</f>
        <v>0</v>
      </c>
    </row>
    <row r="319" spans="1:11" ht="15" hidden="1" customHeight="1" x14ac:dyDescent="0.2">
      <c r="A319" s="82"/>
      <c r="B319" s="82"/>
      <c r="C319" s="83"/>
      <c r="D319" s="12"/>
      <c r="E319" s="13"/>
      <c r="F319" s="13"/>
      <c r="G319" s="13"/>
      <c r="H319" s="51"/>
      <c r="I319" s="52"/>
      <c r="J319" s="52"/>
      <c r="K319" s="39"/>
    </row>
    <row r="320" spans="1:11" ht="18" customHeight="1" x14ac:dyDescent="0.2">
      <c r="A320" s="84">
        <v>4</v>
      </c>
      <c r="B320" s="79" t="s">
        <v>26</v>
      </c>
      <c r="C320" s="60"/>
      <c r="D320" s="12">
        <f t="shared" ref="D320:D340" si="89">E320+G320</f>
        <v>184406</v>
      </c>
      <c r="E320" s="12">
        <f>E321+E323+E322</f>
        <v>184406</v>
      </c>
      <c r="F320" s="12">
        <f>F321+F323</f>
        <v>103250</v>
      </c>
      <c r="G320" s="12">
        <f>G321+G323</f>
        <v>0</v>
      </c>
      <c r="H320" s="51">
        <f t="shared" ref="H320:H340" si="90">I320+K320</f>
        <v>514700</v>
      </c>
      <c r="I320" s="51">
        <f>+I321+I322+I323</f>
        <v>514700</v>
      </c>
      <c r="J320" s="51">
        <f t="shared" ref="J320" si="91">+J321+J322+J323</f>
        <v>468200</v>
      </c>
      <c r="K320" s="39">
        <f>+K321+K322</f>
        <v>0</v>
      </c>
    </row>
    <row r="321" spans="1:12" ht="18" customHeight="1" x14ac:dyDescent="0.2">
      <c r="A321" s="84"/>
      <c r="B321" s="79"/>
      <c r="C321" s="21" t="s">
        <v>3</v>
      </c>
      <c r="D321" s="14">
        <f t="shared" si="89"/>
        <v>145460</v>
      </c>
      <c r="E321" s="15">
        <v>145460</v>
      </c>
      <c r="F321" s="15">
        <v>103250</v>
      </c>
      <c r="G321" s="15"/>
      <c r="H321" s="50">
        <f t="shared" si="90"/>
        <v>514700</v>
      </c>
      <c r="I321" s="48">
        <v>514700</v>
      </c>
      <c r="J321" s="48">
        <v>468200</v>
      </c>
      <c r="K321" s="36">
        <v>0</v>
      </c>
    </row>
    <row r="322" spans="1:12" ht="18" hidden="1" customHeight="1" x14ac:dyDescent="0.2">
      <c r="A322" s="84"/>
      <c r="B322" s="79"/>
      <c r="C322" s="21" t="s">
        <v>4</v>
      </c>
      <c r="D322" s="14">
        <f t="shared" si="89"/>
        <v>0</v>
      </c>
      <c r="E322" s="15"/>
      <c r="F322" s="15"/>
      <c r="G322" s="15"/>
      <c r="H322" s="35">
        <f t="shared" si="90"/>
        <v>0</v>
      </c>
      <c r="I322" s="36"/>
      <c r="J322" s="36"/>
      <c r="K322" s="36"/>
    </row>
    <row r="323" spans="1:12" ht="18" hidden="1" customHeight="1" x14ac:dyDescent="0.2">
      <c r="A323" s="84"/>
      <c r="B323" s="79"/>
      <c r="C323" s="21" t="s">
        <v>11</v>
      </c>
      <c r="D323" s="14">
        <f t="shared" si="89"/>
        <v>38946</v>
      </c>
      <c r="E323" s="15">
        <v>38946</v>
      </c>
      <c r="F323" s="15">
        <v>0</v>
      </c>
      <c r="G323" s="15"/>
      <c r="H323" s="35">
        <f t="shared" si="90"/>
        <v>0</v>
      </c>
      <c r="I323" s="36"/>
      <c r="J323" s="36"/>
      <c r="K323" s="36"/>
    </row>
    <row r="324" spans="1:12" ht="28.15" hidden="1" customHeight="1" x14ac:dyDescent="0.2">
      <c r="A324" s="61">
        <v>5</v>
      </c>
      <c r="B324" s="62" t="s">
        <v>27</v>
      </c>
      <c r="C324" s="61" t="s">
        <v>8</v>
      </c>
      <c r="D324" s="12">
        <f t="shared" si="89"/>
        <v>3608</v>
      </c>
      <c r="E324" s="16">
        <v>3608</v>
      </c>
      <c r="F324" s="16"/>
      <c r="G324" s="16"/>
      <c r="H324" s="37">
        <f t="shared" si="90"/>
        <v>0</v>
      </c>
      <c r="I324" s="39"/>
      <c r="J324" s="36">
        <v>0</v>
      </c>
      <c r="K324" s="36">
        <v>0</v>
      </c>
    </row>
    <row r="325" spans="1:12" ht="22.9" customHeight="1" x14ac:dyDescent="0.2">
      <c r="A325" s="63"/>
      <c r="B325" s="110" t="s">
        <v>92</v>
      </c>
      <c r="C325" s="111"/>
      <c r="D325" s="28" t="e">
        <f t="shared" si="89"/>
        <v>#REF!</v>
      </c>
      <c r="E325" s="28" t="e">
        <f>E318+E315+#REF!+E303+E295+E286+E277+E265+E255+E243+E231+E219+#REF!+E210+E198+E187+E174+E160+#REF!+E146+E136+E125+E114+E103+E89+E84+E76+E67+E58+E51+E46+E12</f>
        <v>#REF!</v>
      </c>
      <c r="F325" s="28" t="e">
        <f>F318+F315+#REF!+F303+F295+F286+F277+F265+F255+F243+F231+F219+#REF!+F210+F198+F187+F174+F160+#REF!+F146+F136+F125+F114+F103+F89+F84+F76+F67+F58+F51+F46+F12</f>
        <v>#REF!</v>
      </c>
      <c r="G325" s="28" t="e">
        <f>G318+G315+#REF!+G303+G295+G286+G277+G265+G255+G243+G231+G219+#REF!+G210+G198+G187+G174+G160+#REF!+G146+G136+G125+G114+G103+G89+G84+G76+G67+G58+G51+G46+G44+G12</f>
        <v>#REF!</v>
      </c>
      <c r="H325" s="43">
        <f t="shared" si="90"/>
        <v>21805736</v>
      </c>
      <c r="I325" s="43">
        <f>I318+I315+I303+I295+I286+I277+I265+I255+I243+I231+I219++I210+I198+I187+I174+I160+I146+I136+I125+I114+I103+I89+I84+I76+I67+I58+I51+I46+I12</f>
        <v>19414510</v>
      </c>
      <c r="J325" s="43">
        <f>J318+J315+J303+J295+J286+J277+J265+J255+J243+J231+J219+J210+J198+J187+J174+J160+J146+J136+J125+J114+J103+J89+J84+J76+J67+J58+J51+J46+J12</f>
        <v>12937720</v>
      </c>
      <c r="K325" s="43">
        <f>K318+K315+K303+K295+K286+K277+K265+K255+K243+K231+K219+K210+K198+K187+K174+K160+K146+K136+K125+K114+K103+K89+K84+K76+K67+K58+K51+K46+K12</f>
        <v>2391226</v>
      </c>
    </row>
    <row r="326" spans="1:12" ht="31.5" customHeight="1" x14ac:dyDescent="0.2">
      <c r="A326" s="63"/>
      <c r="B326" s="81" t="s">
        <v>72</v>
      </c>
      <c r="C326" s="109"/>
      <c r="D326" s="28"/>
      <c r="E326" s="28"/>
      <c r="F326" s="28"/>
      <c r="G326" s="28"/>
      <c r="H326" s="43">
        <f>+I326+K326</f>
        <v>607980</v>
      </c>
      <c r="I326" s="43">
        <v>0</v>
      </c>
      <c r="J326" s="43">
        <v>0</v>
      </c>
      <c r="K326" s="43">
        <v>607980</v>
      </c>
    </row>
    <row r="327" spans="1:12" ht="48.75" hidden="1" customHeight="1" x14ac:dyDescent="0.2">
      <c r="A327" s="63"/>
      <c r="B327" s="112" t="s">
        <v>84</v>
      </c>
      <c r="C327" s="113"/>
      <c r="D327" s="28"/>
      <c r="E327" s="28"/>
      <c r="F327" s="28"/>
      <c r="G327" s="28"/>
      <c r="H327" s="43">
        <f>+I327+K327</f>
        <v>0</v>
      </c>
      <c r="I327" s="43"/>
      <c r="J327" s="43">
        <v>0</v>
      </c>
      <c r="K327" s="43">
        <v>0</v>
      </c>
    </row>
    <row r="328" spans="1:12" ht="30" customHeight="1" x14ac:dyDescent="0.2">
      <c r="A328" s="61"/>
      <c r="B328" s="110" t="s">
        <v>73</v>
      </c>
      <c r="C328" s="111"/>
      <c r="D328" s="28"/>
      <c r="E328" s="28"/>
      <c r="F328" s="28"/>
      <c r="G328" s="28"/>
      <c r="H328" s="43">
        <f>+I328+K328</f>
        <v>21197756</v>
      </c>
      <c r="I328" s="43">
        <f>+I325-I326</f>
        <v>19414510</v>
      </c>
      <c r="J328" s="43">
        <f t="shared" ref="J328:L328" si="92">+J325-J326</f>
        <v>12937720</v>
      </c>
      <c r="K328" s="43">
        <f t="shared" si="92"/>
        <v>1783246</v>
      </c>
      <c r="L328" s="43">
        <f t="shared" si="92"/>
        <v>0</v>
      </c>
    </row>
    <row r="329" spans="1:12" ht="18" customHeight="1" x14ac:dyDescent="0.2">
      <c r="A329" s="102" t="s">
        <v>47</v>
      </c>
      <c r="B329" s="103"/>
      <c r="C329" s="21" t="s">
        <v>3</v>
      </c>
      <c r="D329" s="26" t="e">
        <f t="shared" si="89"/>
        <v>#REF!</v>
      </c>
      <c r="E329" s="14" t="e">
        <f>E321+E317+#REF!+E297+E306+E289+E284+E280+E268+E258+E246+E234+E222+#REF!+E212+E201+E190+E177+E172+E163+#REF!+E158+E149+#REF!+E139+E128+E117+E106+E92+E86+E79+E69+E61+E53+E48+E38+E32+E27+E19+E14+E301</f>
        <v>#REF!</v>
      </c>
      <c r="F329" s="14" t="e">
        <f>F321+F317+#REF!+F297+F306+F289+F284+F284+F280+F268+F258+F246+F234+F222+#REF!+F212+F201+F190+F177+F172+F163+#REF!+F158+F149+#REF!+F139+F128+F117+F106+F92+F86+F79+F69+F61+F53+F48+F38+F32+F27+F19+F14</f>
        <v>#REF!</v>
      </c>
      <c r="G329" s="14" t="e">
        <f>G321+G317+#REF!+G306+G289+G284+G280+G268+G258+G246+G234+G222+#REF!+G212+G201+G190+G177+G163+#REF!+G158+G149+#REF!+G139+G128+G117+G106+G92+G86+G79+G69+G61+G53+G48+G38+G32+G27+G19+G14</f>
        <v>#REF!</v>
      </c>
      <c r="H329" s="44">
        <f t="shared" si="90"/>
        <v>12044557</v>
      </c>
      <c r="I329" s="45">
        <f>I321+I317+I297+I306+I289+I284+I280+I268+I258+I246+I234+I222+I212+I201+I190+I177+I172+I163+I158+I149+I139+I128+I117+I106+I92+I86+I79+I69+I61+I53+I48+I38+I32+I27+I19+I14+I301+I253+I196+I240++I111++I122+I144+I263+I75+I312+I217</f>
        <v>10879653</v>
      </c>
      <c r="J329" s="45">
        <f t="shared" ref="J329:K329" si="93">J321+J317+J297+J306+J289+J284+J280+J268+J258+J246+J234+J222+J212+J201+J190+J177+J172+J163+J158+J149+J139+J128+J117+J106+J92+J86+J79+J69+J61+J53+J48+J38+J32+J27+J19+J14+J301+J253+J196+J240++J111++J122+J144+J263+J75+J312</f>
        <v>7022450</v>
      </c>
      <c r="K329" s="45">
        <f t="shared" si="93"/>
        <v>1164904</v>
      </c>
    </row>
    <row r="330" spans="1:12" ht="17.45" hidden="1" customHeight="1" x14ac:dyDescent="0.2">
      <c r="A330" s="105" t="s">
        <v>48</v>
      </c>
      <c r="B330" s="108"/>
      <c r="C330" s="21" t="s">
        <v>4</v>
      </c>
      <c r="D330" s="26" t="e">
        <f t="shared" si="89"/>
        <v>#REF!</v>
      </c>
      <c r="E330" s="14" t="e">
        <f>E322+E290+E269+E247+E235+#REF!+E202+E191+E178+E164+#REF!+E150+E140+E129+E118+E107+E93+E70+E62+#REF!+#REF!+#REF!+E223</f>
        <v>#REF!</v>
      </c>
      <c r="F330" s="14" t="e">
        <f>F322+F290+F269+F247+F235+#REF!+F202+F191+F178+F164+#REF!+F150+F140+F129+F118+F107+F93+F70+F62+#REF!+#REF!+#REF!+F223</f>
        <v>#REF!</v>
      </c>
      <c r="G330" s="14" t="e">
        <f>G322+G290+G269+G247+G235+#REF!+G202+G191+G178+G164+#REF!+G150+G140+G129+G118+G107+G93+G70+G62+#REF!+#REF!+#REF!+G223</f>
        <v>#REF!</v>
      </c>
      <c r="H330" s="44" t="e">
        <f t="shared" si="90"/>
        <v>#REF!</v>
      </c>
      <c r="I330" s="45" t="e">
        <f>++I35++I62+I70+I93+I107+I118+I129+I140+I150+#REF!+I164+I178+#REF!+I223+I235+I247+I259+I269+I322-I62-I70-I35</f>
        <v>#REF!</v>
      </c>
      <c r="J330" s="45" t="e">
        <f>J322+J290+J269+J247+J235+#REF!+J202+J191+J178+J164+#REF!+J150+J140+J129+J118+J107+J93+J70+J62++J223-J290</f>
        <v>#REF!</v>
      </c>
      <c r="K330" s="45" t="e">
        <f>K322+K290+K269+K247+K235+#REF!+K202+K191+K178+K164+#REF!+K150+K140+K129+K118+K107+K93+K70+K62+K223</f>
        <v>#REF!</v>
      </c>
    </row>
    <row r="331" spans="1:12" ht="27" customHeight="1" x14ac:dyDescent="0.2">
      <c r="A331" s="102" t="s">
        <v>38</v>
      </c>
      <c r="B331" s="103"/>
      <c r="C331" s="21" t="s">
        <v>8</v>
      </c>
      <c r="D331" s="26" t="e">
        <f t="shared" si="89"/>
        <v>#REF!</v>
      </c>
      <c r="E331" s="14" t="e">
        <f>E324+E314+E294+E285+E276+E275+E264+#REF!+E254+E253+E242+E241+E230+E229+#REF!+#REF!+E209+E207+#REF!+E197+E185+E183+E173+E170+#REF!+#REF!+E159+E156+E145+#REF!+E135+E134+E124+E123+E113+E112+E102+E100+E83+E80+E74+E66+E54+E50+E39+E33+E20+E302</f>
        <v>#REF!</v>
      </c>
      <c r="F331" s="14" t="e">
        <f>F324+F314+F294+F285+F276+F275+F264+#REF!+F254+F253+F242+F241+F230+F229+#REF!+#REF!+F209+F207+#REF!+F197+F185+F183+F173+F170+#REF!+#REF!+F159+F156+F145+#REF!+F135+F134+F124+F123+F113+F112+F102+F100+F83+F80+F74+F66+F54+F50+F39+F33+F20</f>
        <v>#REF!</v>
      </c>
      <c r="G331" s="14" t="e">
        <f>G324+G314+G294+G285+G276+G275+G264+#REF!+G254+G253+G242+G241+G230+G229+#REF!+#REF!+G209+G207+#REF!+G197+G185+G183+G173+G170+#REF!+#REF!+G159+G156+G145+#REF!+G135+G134+G124+G123+G113+G112+G102+G100+G83+G80+G74+G66+G54+G50+G39+G33+G20</f>
        <v>#REF!</v>
      </c>
      <c r="H331" s="44">
        <f t="shared" si="90"/>
        <v>2521082</v>
      </c>
      <c r="I331" s="45">
        <f>+I20+I33+I39+I50+I54+I66+I74+I80+I83+I100+I102+I112+I113+I123+I124+I134+I135+I145+I159+I173+I183+I185+I197+I209+I230+I242+++I254+I264+I285+I294+I302+I314+I324+I276+I88+I218++I156+I170+I241</f>
        <v>2521082</v>
      </c>
      <c r="J331" s="45">
        <f>+J20+J33+J39+J50+J54+J66+J74+J80+J83+J100+J102+J112+J113+J123+J124+J134+J135+J145+J159+J173+J183+J185+J197+J209+J230+J242+J254+J264+J285+J294+J302+J314+J324+J276+J88+J218+J156+J170+J241+J252</f>
        <v>1385842</v>
      </c>
      <c r="K331" s="45">
        <f>+K20+K33+K39+K50+K54+K66+K74+K80+K83+K100+K102+K112+K113+K123+K124+K134+K135+K145+K159+K173+K183+K185+K197+K209+K230+K242+++K254+K264+K285+K294+K302+K314+K324+K276+K88+K218++K156+K170+K241+K252</f>
        <v>0</v>
      </c>
    </row>
    <row r="332" spans="1:12" ht="18" customHeight="1" x14ac:dyDescent="0.2">
      <c r="A332" s="102" t="s">
        <v>93</v>
      </c>
      <c r="B332" s="103"/>
      <c r="C332" s="21" t="s">
        <v>10</v>
      </c>
      <c r="D332" s="26" t="e">
        <f t="shared" si="89"/>
        <v>#REF!</v>
      </c>
      <c r="E332" s="14" t="e">
        <f>E307+E298+E281+E270+E260+E248+E236+E224+#REF!+E203+E192+E179+E165+#REF!+E151+E141+E130+E119+E108+E94+E17</f>
        <v>#REF!</v>
      </c>
      <c r="F332" s="14" t="e">
        <f>F307+F298+F281+F270+F260+F248+F236+F224+#REF!+F203+F192+F179+F165+#REF!+F151+F141+F130+F119+F108+F94+F17</f>
        <v>#REF!</v>
      </c>
      <c r="G332" s="14" t="e">
        <f>G307+G298+G281+G270+G260+G248+G236+G224+#REF!+G203+G192+G179+G165+#REF!+G151+G141+G130+G119+G108+G94+G17</f>
        <v>#REF!</v>
      </c>
      <c r="H332" s="44">
        <f t="shared" si="90"/>
        <v>4599300</v>
      </c>
      <c r="I332" s="45">
        <f>I307+I298+I281+I270+I260+I248+I236+I224+I203+I192+I179+I165+I151+I141+I130+I119+I108+I94+I17+I62+I70+I213+I290</f>
        <v>4599300</v>
      </c>
      <c r="J332" s="45">
        <f>J307+J298+J281+J270+J260+J248+J236+J224+J203+J192+J179+J165+J151+J141+J130+J119+J108+J94+J17+J62+J70+J213+J290</f>
        <v>4380490</v>
      </c>
      <c r="K332" s="45">
        <f>K307+K298+K281+K270+K260+K248+K236+K224+K203+K192+K179+K165+K151+K141+K130+K119+K108+K94+K17+K62+K70+K213+K290</f>
        <v>0</v>
      </c>
    </row>
    <row r="333" spans="1:12" ht="27" customHeight="1" x14ac:dyDescent="0.2">
      <c r="A333" s="102" t="s">
        <v>37</v>
      </c>
      <c r="B333" s="103"/>
      <c r="C333" s="21" t="s">
        <v>9</v>
      </c>
      <c r="D333" s="26" t="e">
        <f t="shared" si="89"/>
        <v>#REF!</v>
      </c>
      <c r="E333" s="14">
        <f>E59+E21</f>
        <v>0</v>
      </c>
      <c r="F333" s="14">
        <f>F59+F21</f>
        <v>0</v>
      </c>
      <c r="G333" s="14" t="e">
        <f>G59+G21+#REF!</f>
        <v>#REF!</v>
      </c>
      <c r="H333" s="44">
        <f t="shared" si="90"/>
        <v>965000</v>
      </c>
      <c r="I333" s="45">
        <v>0</v>
      </c>
      <c r="J333" s="45">
        <f>J59+J21</f>
        <v>0</v>
      </c>
      <c r="K333" s="45">
        <f>K59+K21</f>
        <v>965000</v>
      </c>
    </row>
    <row r="334" spans="1:12" ht="18" customHeight="1" x14ac:dyDescent="0.2">
      <c r="A334" s="102" t="s">
        <v>49</v>
      </c>
      <c r="B334" s="103"/>
      <c r="C334" s="21" t="s">
        <v>11</v>
      </c>
      <c r="D334" s="26">
        <f t="shared" si="89"/>
        <v>30931</v>
      </c>
      <c r="E334" s="14">
        <f>E97</f>
        <v>30931</v>
      </c>
      <c r="F334" s="14">
        <f>F97</f>
        <v>13366</v>
      </c>
      <c r="G334" s="14">
        <f>G97</f>
        <v>0</v>
      </c>
      <c r="H334" s="44">
        <f t="shared" si="90"/>
        <v>344040</v>
      </c>
      <c r="I334" s="45">
        <f>I97+I29+I64+I72+I215+I282++I292+I142+I152++I237+I261+I40+I49+I55+I81+I109++I120+I131+I166++I180+I193+I204+I225+I249+I271+I299+I309+I323+I16+I87+I34+I313</f>
        <v>315948</v>
      </c>
      <c r="J334" s="45">
        <f>J97+J29+J64+J72+J215+J282++J292+J142+J152++J237+J261+J40+J49+J55+J81+J109++J120+J131+J166++J180+J193+J204+J225+J249+J271+J299+J309+J323+J16+J87+J34+J313</f>
        <v>86962</v>
      </c>
      <c r="K334" s="45">
        <f>K97+K29+K64+K72+K215+K282++K292+K142+K152++K237+K261+K40+K49+K55+K81+K109++K120+K131+K166++K180+K193+K204+K225+K249+K271+K299+K309+K323+K16+K24</f>
        <v>28092</v>
      </c>
    </row>
    <row r="335" spans="1:12" ht="18" customHeight="1" x14ac:dyDescent="0.2">
      <c r="A335" s="102" t="s">
        <v>36</v>
      </c>
      <c r="B335" s="103"/>
      <c r="C335" s="21" t="s">
        <v>6</v>
      </c>
      <c r="D335" s="26">
        <f t="shared" si="89"/>
        <v>364502</v>
      </c>
      <c r="E335" s="14">
        <f>E36+E28</f>
        <v>364502</v>
      </c>
      <c r="F335" s="14">
        <f>F36+F28</f>
        <v>0</v>
      </c>
      <c r="G335" s="14">
        <f>G36+G28</f>
        <v>0</v>
      </c>
      <c r="H335" s="44">
        <f t="shared" si="90"/>
        <v>529912</v>
      </c>
      <c r="I335" s="45">
        <f>I36+I28</f>
        <v>529912</v>
      </c>
      <c r="J335" s="45">
        <f>J36+J28</f>
        <v>0</v>
      </c>
      <c r="K335" s="45">
        <f>K36+K28</f>
        <v>0</v>
      </c>
    </row>
    <row r="336" spans="1:12" ht="18" customHeight="1" x14ac:dyDescent="0.2">
      <c r="A336" s="102" t="s">
        <v>86</v>
      </c>
      <c r="B336" s="103"/>
      <c r="C336" s="21" t="s">
        <v>85</v>
      </c>
      <c r="D336" s="26" t="e">
        <f t="shared" si="89"/>
        <v>#REF!</v>
      </c>
      <c r="E336" s="14"/>
      <c r="F336" s="14" t="e">
        <f>F274+#REF!+F252+F228+F208+F196+F184+F171+#REF!+F157+#REF!+#REF!</f>
        <v>#REF!</v>
      </c>
      <c r="G336" s="14" t="e">
        <f>G274+#REF!+G252+G228+G208+G196+G184+G171+#REF!+G157+#REF!+#REF!</f>
        <v>#REF!</v>
      </c>
      <c r="H336" s="44">
        <f t="shared" si="90"/>
        <v>7132</v>
      </c>
      <c r="I336" s="45">
        <f>+I23</f>
        <v>435</v>
      </c>
      <c r="J336" s="45">
        <f>+J23</f>
        <v>412</v>
      </c>
      <c r="K336" s="45">
        <f>+K23</f>
        <v>6697</v>
      </c>
    </row>
    <row r="337" spans="1:12" ht="18" customHeight="1" x14ac:dyDescent="0.2">
      <c r="A337" s="102" t="s">
        <v>34</v>
      </c>
      <c r="B337" s="103"/>
      <c r="C337" s="21" t="s">
        <v>5</v>
      </c>
      <c r="D337" s="26" t="e">
        <f t="shared" si="89"/>
        <v>#REF!</v>
      </c>
      <c r="E337" s="14" t="e">
        <f>E323+E310+E300+E293+E283+E272+E262+E250+E238+E226+#REF!+E216+E205+E194+E181+E168+#REF!+E153+E143+E132+E121+E110+E95+E82+E73+E65+E56+E42+E30</f>
        <v>#REF!</v>
      </c>
      <c r="F337" s="14" t="e">
        <f>F323+F310+F300+F293+F283+F272+F262+F250+F238+F226+#REF!+F216+F205+F194+F181+F168+#REF!+F153+F143+F132+F121+F110+F95+F82+F73+F65+F56+F42+F30</f>
        <v>#REF!</v>
      </c>
      <c r="G337" s="14" t="e">
        <f>G323+G310+G300+G293+G283+G272+G262+G250+G238+G226+#REF!+G216+G205+G194+G181+G168+#REF!+G153+G143+G132+G121+G110+G95+G82+G73+G65+G56+G42+G30</f>
        <v>#REF!</v>
      </c>
      <c r="H337" s="44">
        <f t="shared" si="90"/>
        <v>526147</v>
      </c>
      <c r="I337" s="45">
        <f>I310+I300+I293+I283+I272+I262+I250+I238+I226+I216+I205+I194+I181+I168+I153+I143+I132+I121+I110+I95+I82+I73+I65+I56+I42+I30+I24+I35</f>
        <v>523747</v>
      </c>
      <c r="J337" s="45">
        <f>J310+J300+J293+J283+J272+J262+J250+J238+J226+J216+J205+J194+J181+J168+J153+J143+J132+J121+J110+J95+J82+J73+J65+J56+J42+J30+J24</f>
        <v>52105</v>
      </c>
      <c r="K337" s="45">
        <f>K310+K300+K293+K283+K272+K262+K250+K238+K226+K216+K205+K194+K181+K168+K153+K143+K132+K121+K110+K95+K82+K73+K65+K56+K42+K30+K24-K24</f>
        <v>2400</v>
      </c>
    </row>
    <row r="338" spans="1:12" ht="18" customHeight="1" x14ac:dyDescent="0.2">
      <c r="A338" s="102" t="s">
        <v>83</v>
      </c>
      <c r="B338" s="103"/>
      <c r="C338" s="21" t="s">
        <v>77</v>
      </c>
      <c r="D338" s="26" t="e">
        <f t="shared" si="89"/>
        <v>#REF!</v>
      </c>
      <c r="E338" s="14" t="e">
        <f>E308+E299+E282+E261+E225+#REF!+E213+E204+E193+E180+E166+E152+E142+E133+#REF!+#REF!+E96+#REF!+#REF!+#REF!</f>
        <v>#REF!</v>
      </c>
      <c r="F338" s="14" t="e">
        <f>F308+F299+F282+F261+F225+#REF!+F213+F204+F193+F180+F166+F152+F142+F133+#REF!+#REF!+F96+#REF!+#REF!+#REF!</f>
        <v>#REF!</v>
      </c>
      <c r="G338" s="14" t="e">
        <f>G308+G299+G282+G261+G225+#REF!+G213+G204+G193+G180+G166+G152+G142+G133+#REF!+#REF!+G96+#REF!+#REF!+#REF!</f>
        <v>#REF!</v>
      </c>
      <c r="H338" s="44">
        <f t="shared" si="90"/>
        <v>268566</v>
      </c>
      <c r="I338" s="45">
        <f>+I15+I63+I71+I214+I291+I308+I22+I41+I167</f>
        <v>44433</v>
      </c>
      <c r="J338" s="45">
        <f>+J15+J63+J71+J214+J291+J308+J22+J41+J167</f>
        <v>9459</v>
      </c>
      <c r="K338" s="45">
        <f>+K15+K63+K71+K214+K291+K308+K22+K41+K167</f>
        <v>224133</v>
      </c>
      <c r="L338" s="45">
        <f>+L15+L63+L71+L214+L291+L308+L22</f>
        <v>0</v>
      </c>
    </row>
    <row r="339" spans="1:12" ht="18" hidden="1" customHeight="1" x14ac:dyDescent="0.2">
      <c r="A339" s="102" t="s">
        <v>35</v>
      </c>
      <c r="B339" s="103"/>
      <c r="C339" s="21" t="s">
        <v>7</v>
      </c>
      <c r="D339" s="26">
        <f t="shared" si="89"/>
        <v>1402629</v>
      </c>
      <c r="E339" s="14">
        <f>E25+E88</f>
        <v>0</v>
      </c>
      <c r="F339" s="14">
        <f>F25+F88</f>
        <v>0</v>
      </c>
      <c r="G339" s="14">
        <f>G25+G88+G210</f>
        <v>1402629</v>
      </c>
      <c r="H339" s="44">
        <f t="shared" si="90"/>
        <v>0</v>
      </c>
      <c r="I339" s="45">
        <f>I25+I88-I88</f>
        <v>0</v>
      </c>
      <c r="J339" s="45">
        <f>J25+J88</f>
        <v>0</v>
      </c>
      <c r="K339" s="45">
        <f>K25+K88-K88+K87</f>
        <v>0</v>
      </c>
    </row>
    <row r="340" spans="1:12" ht="15" hidden="1" customHeight="1" x14ac:dyDescent="0.2">
      <c r="A340" s="61"/>
      <c r="B340" s="62"/>
      <c r="C340" s="21" t="s">
        <v>7</v>
      </c>
      <c r="D340" s="26" t="e">
        <f t="shared" si="89"/>
        <v>#REF!</v>
      </c>
      <c r="E340" s="14" t="e">
        <f>#REF!</f>
        <v>#REF!</v>
      </c>
      <c r="F340" s="14" t="e">
        <f>#REF!</f>
        <v>#REF!</v>
      </c>
      <c r="G340" s="14" t="e">
        <f>#REF!</f>
        <v>#REF!</v>
      </c>
      <c r="H340" s="31" t="e">
        <f t="shared" si="90"/>
        <v>#REF!</v>
      </c>
      <c r="I340" s="46" t="e">
        <f>#REF!</f>
        <v>#REF!</v>
      </c>
      <c r="J340" s="46" t="e">
        <f>#REF!</f>
        <v>#REF!</v>
      </c>
      <c r="K340" s="46" t="e">
        <f>#REF!</f>
        <v>#REF!</v>
      </c>
    </row>
    <row r="341" spans="1:12" ht="30" customHeight="1" x14ac:dyDescent="0.2">
      <c r="A341" s="61">
        <v>1</v>
      </c>
      <c r="B341" s="105" t="s">
        <v>78</v>
      </c>
      <c r="C341" s="106"/>
      <c r="D341" s="26" t="e">
        <f>D305+D295+D288+D279+D267+D257+D245+D233+D221+#REF!+D210+D200+D189+D176+D162+#REF!+D148+D138+D127+D116+D105+D91+D68+D60+D13</f>
        <v>#REF!</v>
      </c>
      <c r="E341" s="14" t="e">
        <f>E305+E295+E288+E279+E267+E257+E245+E233+E221+#REF!+E210+E200+E189+E176+E162+#REF!+E148+E138+E127+E116+E105+E91+E68+E60+E13</f>
        <v>#REF!</v>
      </c>
      <c r="F341" s="14" t="e">
        <f>F305+F295+F288+F279+F267+F257+F245+F233+F221+#REF!+F210+F200+F189+F176+F162+#REF!+F148+F138+F127+F116+F105+F91+F68+F60+F13</f>
        <v>#REF!</v>
      </c>
      <c r="G341" s="14" t="e">
        <f>G305+G295+G288+G279+G267+G257+G245+G233+G221+#REF!+G210+G200+G189+G176+G162+#REF!+G148+G138+G127+G116+G105+G91+G68+G60+G13</f>
        <v>#REF!</v>
      </c>
      <c r="H341" s="44">
        <f>H305+H296+H288+H279+H267+H257+H245+H233+H221+H211+H200+H189+H176+H162+H148+H138+H127+H116+H105+H91+H68+H60+H13</f>
        <v>9926291</v>
      </c>
      <c r="I341" s="45">
        <f>I305+I296+I288+I279+I267+I257+I245+I233+I221+I211+I200+I189+I176+I162+I148+I138+I127+I116+I105+I91+I68+I60+I13</f>
        <v>9886514</v>
      </c>
      <c r="J341" s="45">
        <f>J305+J295+J288+J279+J267+J257+J245+J233+J221+J210+J200+J189+J176+J162+J148+J138+J127+J116+J105+J91+J68+J60+J13</f>
        <v>8244047</v>
      </c>
      <c r="K341" s="45">
        <f>K305+K295+K288+K279+K267+K257+K245+K233+K221+K200+K189+K176+K162+K148+K138+K127+K116+K105+K91+K68+K60+K13</f>
        <v>39777</v>
      </c>
    </row>
    <row r="342" spans="1:12" ht="30" customHeight="1" x14ac:dyDescent="0.2">
      <c r="A342" s="61">
        <v>2</v>
      </c>
      <c r="B342" s="105" t="s">
        <v>24</v>
      </c>
      <c r="C342" s="106"/>
      <c r="D342" s="26">
        <f>D18+D59+D217</f>
        <v>1174592</v>
      </c>
      <c r="E342" s="14">
        <f>E18+E59</f>
        <v>310132</v>
      </c>
      <c r="F342" s="14">
        <f>F18+F59</f>
        <v>20273</v>
      </c>
      <c r="G342" s="14">
        <f>G18+G59+G217</f>
        <v>864460</v>
      </c>
      <c r="H342" s="44">
        <f>H18+H59+H217+H111+H196++H122+H144+H263+H154+H98+H75</f>
        <v>1949039</v>
      </c>
      <c r="I342" s="45">
        <f>I18+I59+I217+I111+I196++I122+I144+I263+I75</f>
        <v>313520</v>
      </c>
      <c r="J342" s="45">
        <f>J18+J59+J217+J111+J196++J122+J144+J263+J75</f>
        <v>9871</v>
      </c>
      <c r="K342" s="45">
        <f>K18+K59+K217+K111+K196++K122+K144+K263+K75</f>
        <v>1635519</v>
      </c>
    </row>
    <row r="343" spans="1:12" ht="25.15" customHeight="1" x14ac:dyDescent="0.2">
      <c r="A343" s="61">
        <v>3</v>
      </c>
      <c r="B343" s="105" t="s">
        <v>25</v>
      </c>
      <c r="C343" s="106"/>
      <c r="D343" s="26">
        <f t="shared" ref="D343:K343" si="94">D26</f>
        <v>1115861</v>
      </c>
      <c r="E343" s="14">
        <f t="shared" si="94"/>
        <v>1112994</v>
      </c>
      <c r="F343" s="14">
        <f t="shared" si="94"/>
        <v>41155</v>
      </c>
      <c r="G343" s="14">
        <f t="shared" si="94"/>
        <v>2867</v>
      </c>
      <c r="H343" s="44">
        <f t="shared" si="94"/>
        <v>1577803</v>
      </c>
      <c r="I343" s="45">
        <f t="shared" si="94"/>
        <v>1505853</v>
      </c>
      <c r="J343" s="45">
        <f t="shared" si="94"/>
        <v>144900</v>
      </c>
      <c r="K343" s="45">
        <f t="shared" si="94"/>
        <v>71950</v>
      </c>
    </row>
    <row r="344" spans="1:12" ht="25.15" customHeight="1" x14ac:dyDescent="0.2">
      <c r="A344" s="61">
        <v>4</v>
      </c>
      <c r="B344" s="105" t="s">
        <v>26</v>
      </c>
      <c r="C344" s="106"/>
      <c r="D344" s="26" t="e">
        <f>D320+D284+D273+D263+D251+D241+D227+#REF!+D206+D195+D182+D169+#REF!+D155+D144+D134+D123+D112+D100+D78+D46+D31+D301</f>
        <v>#REF!</v>
      </c>
      <c r="E344" s="14" t="e">
        <f>E320+E284+E273+E263+E251+E241+E227+#REF!+E206+E195+E182+E169+#REF!+E155+E144+E134+E123+E112+E100+E78+E46+E31+E301</f>
        <v>#REF!</v>
      </c>
      <c r="F344" s="14" t="e">
        <f>F320+F284+F273+F263+F251+F241+F227+#REF!+F206+F195+F182+F169+#REF!+F155+F144+F134+F123+F112+F100+F78+F46+F31</f>
        <v>#REF!</v>
      </c>
      <c r="G344" s="14" t="e">
        <f>G320+G284+G273+G263+G251+G241+G227+#REF!+G206+G195+G182+G169+#REF!+G155+G144+G134+G123+G112+G100+G78+G46+G31</f>
        <v>#REF!</v>
      </c>
      <c r="H344" s="44">
        <f>H320+H284+H273+H263+H251+H239+H227+H206+H195+H182+H169+H155+H144+H134+H123+H112+H100+H78+H46+H31+H301-H263-H144+H311</f>
        <v>4319726</v>
      </c>
      <c r="I344" s="45">
        <f>I320+I284+I273+I263+I251+I239+I227+I206+I195+I182+I169+I155+I144+I134+I123+I112+I100+I78+I46+I31+I301-I263-I144+I311</f>
        <v>4319726</v>
      </c>
      <c r="J344" s="45">
        <f>J320+J284+J273+J263+J251+J239+J227+J206+J195+J182+J169+J155+J144+J134+J123+J112+J100+J78+J46+J31+J301-J263-J144+J311</f>
        <v>1933545</v>
      </c>
      <c r="K344" s="45">
        <f>K320+K284+K273+K263+K251+K239+K227+K206+K195+K182+K169+K155+K144+K134+K123+K112+K100+K78+K46+K31+K301-K263-K144</f>
        <v>0</v>
      </c>
    </row>
    <row r="345" spans="1:12" ht="30" customHeight="1" x14ac:dyDescent="0.2">
      <c r="A345" s="61">
        <v>5</v>
      </c>
      <c r="B345" s="105" t="s">
        <v>27</v>
      </c>
      <c r="C345" s="106"/>
      <c r="D345" s="26" t="e">
        <f>D324+D317+#REF!+D314+D294+D285+D276+D264+D254+D242+D230+#REF!+D209+D197+D185+D173+#REF!+D159+D145+D135+D124+D113+D102+D84+D83+D74+D66+D51+D37+D302</f>
        <v>#REF!</v>
      </c>
      <c r="E345" s="14" t="e">
        <f>E324+E317+#REF!+E314+E294+E285+E276+E264+E254+E242+E230+#REF!+E209+E197+E185+E173+#REF!+E159+E145+E135+E124+E113+E102+E84+E83+E74+E66+E51+E37+E302</f>
        <v>#REF!</v>
      </c>
      <c r="F345" s="14" t="e">
        <f>F324+F317+#REF!+F314+F294+F285+F276+F264+F254+F242+F230+#REF!+F209+F197+F185+F173+#REF!+F159+F145+F135+F124+F113+F102+F84+F83+F74+F66+F51+F37+F302</f>
        <v>#REF!</v>
      </c>
      <c r="G345" s="14" t="e">
        <f>G324+G317+#REF!+G314+G294+G285+G276+G264+G254+G242+G230+#REF!+G209+G197+G185+G173+#REF!+G159+G145+G135+G124+G113+G102+G84+G83+G74+G66+G51+G37+G302</f>
        <v>#REF!</v>
      </c>
      <c r="H345" s="44">
        <f>H324+H317+H314+H294+H285+H276+H264+H254+H242+H230+H209+H197+H185+H173+H159+H145+H135+H124+H113+H102+H84+H83+H74+H66+H51+H37+H302+H218</f>
        <v>4032877</v>
      </c>
      <c r="I345" s="45">
        <f>I324+I317+I314+I294+I285+I276+I264+I254+I242+I230+I209+I197+I185+I173+I159+I145+I135+I124+I113+I102+I84+I83+I74+I66+I51+I37+I302+I218</f>
        <v>3388897</v>
      </c>
      <c r="J345" s="45">
        <f>J324+J317+J314+J294+J285+J276+J264+J254+J242+J230+J209+J197+J185+J173+J159+J145+J135+J124+J113+J102+J84+J83+J74+J66+J51+J37+J302+J218</f>
        <v>2605357</v>
      </c>
      <c r="K345" s="45">
        <f>K324+K317+K314+K294+K285+K276+K264+K254+K242+K230+K209+K197+K185+K173+K159+K145+K135+K124+K113+K102+K84+K83+K74+K66+K51+K37+K302+K218</f>
        <v>643980</v>
      </c>
    </row>
    <row r="346" spans="1:12" hidden="1" x14ac:dyDescent="0.2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1:12" ht="18" hidden="1" customHeight="1" x14ac:dyDescent="0.2">
      <c r="A347" s="32" t="s">
        <v>51</v>
      </c>
      <c r="B347" s="100" t="s">
        <v>52</v>
      </c>
      <c r="C347" s="101"/>
      <c r="D347" s="59"/>
      <c r="E347" s="59"/>
      <c r="F347" s="59"/>
      <c r="G347" s="59"/>
      <c r="H347" s="33">
        <v>1968588</v>
      </c>
      <c r="I347" s="34">
        <v>1361159</v>
      </c>
      <c r="J347" s="34">
        <v>719695</v>
      </c>
      <c r="K347" s="34">
        <v>607429</v>
      </c>
    </row>
    <row r="348" spans="1:12" ht="18" hidden="1" customHeight="1" x14ac:dyDescent="0.2">
      <c r="A348" s="32" t="s">
        <v>71</v>
      </c>
      <c r="B348" s="100" t="s">
        <v>53</v>
      </c>
      <c r="C348" s="101"/>
      <c r="D348" s="59"/>
      <c r="E348" s="59"/>
      <c r="F348" s="59"/>
      <c r="G348" s="59"/>
      <c r="H348" s="33">
        <v>18728</v>
      </c>
      <c r="I348" s="34">
        <v>18728</v>
      </c>
      <c r="J348" s="34">
        <v>12587</v>
      </c>
      <c r="K348" s="34">
        <v>0</v>
      </c>
    </row>
    <row r="349" spans="1:12" ht="18" hidden="1" customHeight="1" x14ac:dyDescent="0.2">
      <c r="A349" s="32" t="s">
        <v>54</v>
      </c>
      <c r="B349" s="100" t="s">
        <v>55</v>
      </c>
      <c r="C349" s="101"/>
      <c r="D349" s="59"/>
      <c r="E349" s="59"/>
      <c r="F349" s="59"/>
      <c r="G349" s="59"/>
      <c r="H349" s="33">
        <v>419521</v>
      </c>
      <c r="I349" s="34">
        <v>419521</v>
      </c>
      <c r="J349" s="34">
        <v>263963</v>
      </c>
      <c r="K349" s="34">
        <v>0</v>
      </c>
    </row>
    <row r="350" spans="1:12" ht="18" hidden="1" customHeight="1" x14ac:dyDescent="0.2">
      <c r="A350" s="32" t="s">
        <v>56</v>
      </c>
      <c r="B350" s="100" t="s">
        <v>57</v>
      </c>
      <c r="C350" s="101"/>
      <c r="D350" s="59"/>
      <c r="E350" s="59"/>
      <c r="F350" s="59"/>
      <c r="G350" s="59"/>
      <c r="H350" s="33">
        <v>837479</v>
      </c>
      <c r="I350" s="34">
        <v>589795</v>
      </c>
      <c r="J350" s="34">
        <v>126400</v>
      </c>
      <c r="K350" s="34">
        <v>247684</v>
      </c>
    </row>
    <row r="351" spans="1:12" ht="18" hidden="1" customHeight="1" x14ac:dyDescent="0.2">
      <c r="A351" s="32" t="s">
        <v>58</v>
      </c>
      <c r="B351" s="100" t="s">
        <v>59</v>
      </c>
      <c r="C351" s="101"/>
      <c r="D351" s="59"/>
      <c r="E351" s="59"/>
      <c r="F351" s="59"/>
      <c r="G351" s="59"/>
      <c r="H351" s="33">
        <v>728527</v>
      </c>
      <c r="I351" s="34">
        <v>647958</v>
      </c>
      <c r="J351" s="34">
        <v>8819</v>
      </c>
      <c r="K351" s="34">
        <v>80569</v>
      </c>
    </row>
    <row r="352" spans="1:12" ht="18" hidden="1" customHeight="1" x14ac:dyDescent="0.2">
      <c r="A352" s="32" t="s">
        <v>60</v>
      </c>
      <c r="B352" s="100" t="s">
        <v>61</v>
      </c>
      <c r="C352" s="101"/>
      <c r="D352" s="59"/>
      <c r="E352" s="59"/>
      <c r="F352" s="59"/>
      <c r="G352" s="59"/>
      <c r="H352" s="33">
        <v>264348</v>
      </c>
      <c r="I352" s="34">
        <v>240183</v>
      </c>
      <c r="J352" s="34">
        <v>33925</v>
      </c>
      <c r="K352" s="34">
        <v>24165</v>
      </c>
    </row>
    <row r="353" spans="1:11" ht="18" hidden="1" customHeight="1" x14ac:dyDescent="0.2">
      <c r="A353" s="32" t="s">
        <v>62</v>
      </c>
      <c r="B353" s="100" t="s">
        <v>63</v>
      </c>
      <c r="C353" s="101"/>
      <c r="D353" s="59"/>
      <c r="E353" s="59"/>
      <c r="F353" s="59"/>
      <c r="G353" s="59"/>
      <c r="H353" s="33">
        <v>205306</v>
      </c>
      <c r="I353" s="34">
        <v>103939</v>
      </c>
      <c r="J353" s="34">
        <v>42242</v>
      </c>
      <c r="K353" s="34">
        <v>101367</v>
      </c>
    </row>
    <row r="354" spans="1:11" ht="18" hidden="1" customHeight="1" x14ac:dyDescent="0.2">
      <c r="A354" s="32" t="s">
        <v>64</v>
      </c>
      <c r="B354" s="100" t="s">
        <v>65</v>
      </c>
      <c r="C354" s="101"/>
      <c r="D354" s="59"/>
      <c r="E354" s="59"/>
      <c r="F354" s="59"/>
      <c r="G354" s="59"/>
      <c r="H354" s="33">
        <v>1197686</v>
      </c>
      <c r="I354" s="34">
        <v>1012547</v>
      </c>
      <c r="J354" s="34">
        <v>584240</v>
      </c>
      <c r="K354" s="34">
        <v>185139</v>
      </c>
    </row>
    <row r="355" spans="1:11" ht="18" hidden="1" customHeight="1" x14ac:dyDescent="0.2">
      <c r="A355" s="32" t="s">
        <v>66</v>
      </c>
      <c r="B355" s="100" t="s">
        <v>67</v>
      </c>
      <c r="C355" s="101"/>
      <c r="D355" s="59"/>
      <c r="E355" s="59"/>
      <c r="F355" s="59"/>
      <c r="G355" s="59"/>
      <c r="H355" s="33">
        <v>7246746</v>
      </c>
      <c r="I355" s="34">
        <v>7102560</v>
      </c>
      <c r="J355" s="34">
        <v>4318132</v>
      </c>
      <c r="K355" s="34">
        <v>144186</v>
      </c>
    </row>
    <row r="356" spans="1:11" ht="18" hidden="1" customHeight="1" x14ac:dyDescent="0.2">
      <c r="A356" s="32" t="s">
        <v>68</v>
      </c>
      <c r="B356" s="100" t="s">
        <v>69</v>
      </c>
      <c r="C356" s="101"/>
      <c r="D356" s="59"/>
      <c r="E356" s="59"/>
      <c r="F356" s="59"/>
      <c r="G356" s="59"/>
      <c r="H356" s="33">
        <v>2993728</v>
      </c>
      <c r="I356" s="34">
        <v>2669756</v>
      </c>
      <c r="J356" s="34">
        <v>500702</v>
      </c>
      <c r="K356" s="34">
        <v>323972</v>
      </c>
    </row>
    <row r="357" spans="1:11" x14ac:dyDescent="0.2">
      <c r="C357" s="8" t="s">
        <v>70</v>
      </c>
    </row>
  </sheetData>
  <mergeCells count="181">
    <mergeCell ref="C3:K3"/>
    <mergeCell ref="C4:K4"/>
    <mergeCell ref="A333:B333"/>
    <mergeCell ref="A330:B330"/>
    <mergeCell ref="A329:B329"/>
    <mergeCell ref="A331:B331"/>
    <mergeCell ref="A332:B332"/>
    <mergeCell ref="B326:C326"/>
    <mergeCell ref="B328:C328"/>
    <mergeCell ref="B327:C327"/>
    <mergeCell ref="A257:A262"/>
    <mergeCell ref="A256:C256"/>
    <mergeCell ref="A319:C319"/>
    <mergeCell ref="A316:C316"/>
    <mergeCell ref="A315:C315"/>
    <mergeCell ref="A318:C318"/>
    <mergeCell ref="B325:C325"/>
    <mergeCell ref="B305:B310"/>
    <mergeCell ref="A305:A310"/>
    <mergeCell ref="A320:A323"/>
    <mergeCell ref="B320:B323"/>
    <mergeCell ref="A296:A300"/>
    <mergeCell ref="B296:B300"/>
    <mergeCell ref="A295:C295"/>
    <mergeCell ref="A311:A313"/>
    <mergeCell ref="B311:B313"/>
    <mergeCell ref="B353:C353"/>
    <mergeCell ref="B354:C354"/>
    <mergeCell ref="B355:C355"/>
    <mergeCell ref="B356:C356"/>
    <mergeCell ref="B347:C347"/>
    <mergeCell ref="B348:C348"/>
    <mergeCell ref="B349:C349"/>
    <mergeCell ref="B350:C350"/>
    <mergeCell ref="B351:C351"/>
    <mergeCell ref="B352:C352"/>
    <mergeCell ref="A339:B339"/>
    <mergeCell ref="A334:B334"/>
    <mergeCell ref="A346:K346"/>
    <mergeCell ref="B345:C345"/>
    <mergeCell ref="B341:C341"/>
    <mergeCell ref="B342:C342"/>
    <mergeCell ref="B343:C343"/>
    <mergeCell ref="B344:C344"/>
    <mergeCell ref="A335:B335"/>
    <mergeCell ref="A336:B336"/>
    <mergeCell ref="A338:B338"/>
    <mergeCell ref="A337:B337"/>
    <mergeCell ref="B13:B17"/>
    <mergeCell ref="E9:F9"/>
    <mergeCell ref="A37:A44"/>
    <mergeCell ref="A52:C52"/>
    <mergeCell ref="A288:A293"/>
    <mergeCell ref="B288:B293"/>
    <mergeCell ref="A278:C278"/>
    <mergeCell ref="A304:C304"/>
    <mergeCell ref="A303:C303"/>
    <mergeCell ref="A210:C210"/>
    <mergeCell ref="A198:C198"/>
    <mergeCell ref="A233:A238"/>
    <mergeCell ref="A232:C232"/>
    <mergeCell ref="A219:C219"/>
    <mergeCell ref="B233:B238"/>
    <mergeCell ref="A227:A229"/>
    <mergeCell ref="B227:B229"/>
    <mergeCell ref="A220:C220"/>
    <mergeCell ref="A48:A50"/>
    <mergeCell ref="B37:B42"/>
    <mergeCell ref="B78:B82"/>
    <mergeCell ref="A68:A73"/>
    <mergeCell ref="B68:B73"/>
    <mergeCell ref="A60:A65"/>
    <mergeCell ref="K9:K10"/>
    <mergeCell ref="D9:D10"/>
    <mergeCell ref="A243:C243"/>
    <mergeCell ref="G9:G10"/>
    <mergeCell ref="B162:B168"/>
    <mergeCell ref="A146:C146"/>
    <mergeCell ref="A114:C114"/>
    <mergeCell ref="B116:B121"/>
    <mergeCell ref="A116:A121"/>
    <mergeCell ref="A115:C115"/>
    <mergeCell ref="A162:A168"/>
    <mergeCell ref="A160:C160"/>
    <mergeCell ref="A126:C126"/>
    <mergeCell ref="A155:A158"/>
    <mergeCell ref="A125:C125"/>
    <mergeCell ref="A58:C58"/>
    <mergeCell ref="B26:B30"/>
    <mergeCell ref="A53:A56"/>
    <mergeCell ref="B53:B56"/>
    <mergeCell ref="B155:B158"/>
    <mergeCell ref="B127:B133"/>
    <mergeCell ref="A26:A30"/>
    <mergeCell ref="A77:C77"/>
    <mergeCell ref="A76:C76"/>
    <mergeCell ref="B60:B65"/>
    <mergeCell ref="A7:L7"/>
    <mergeCell ref="A251:A253"/>
    <mergeCell ref="B251:B253"/>
    <mergeCell ref="B221:B226"/>
    <mergeCell ref="A221:A226"/>
    <mergeCell ref="A84:C84"/>
    <mergeCell ref="B148:B153"/>
    <mergeCell ref="A148:A153"/>
    <mergeCell ref="A244:C244"/>
    <mergeCell ref="A245:A250"/>
    <mergeCell ref="A104:C104"/>
    <mergeCell ref="B9:B10"/>
    <mergeCell ref="C9:C10"/>
    <mergeCell ref="H9:H10"/>
    <mergeCell ref="I9:J9"/>
    <mergeCell ref="A18:A25"/>
    <mergeCell ref="B48:B50"/>
    <mergeCell ref="A9:A10"/>
    <mergeCell ref="A12:C12"/>
    <mergeCell ref="A46:C46"/>
    <mergeCell ref="A51:C51"/>
    <mergeCell ref="A47:C47"/>
    <mergeCell ref="B18:B25"/>
    <mergeCell ref="A13:A17"/>
    <mergeCell ref="A174:C174"/>
    <mergeCell ref="B31:B36"/>
    <mergeCell ref="A86:A88"/>
    <mergeCell ref="B86:B88"/>
    <mergeCell ref="A103:C103"/>
    <mergeCell ref="B138:B143"/>
    <mergeCell ref="A147:C147"/>
    <mergeCell ref="A127:A133"/>
    <mergeCell ref="A99:A101"/>
    <mergeCell ref="B99:B101"/>
    <mergeCell ref="A136:C136"/>
    <mergeCell ref="A138:A143"/>
    <mergeCell ref="A137:C137"/>
    <mergeCell ref="A89:C89"/>
    <mergeCell ref="A31:A36"/>
    <mergeCell ref="A78:A82"/>
    <mergeCell ref="A67:C67"/>
    <mergeCell ref="B105:B110"/>
    <mergeCell ref="A90:C90"/>
    <mergeCell ref="A91:A97"/>
    <mergeCell ref="A161:C161"/>
    <mergeCell ref="B91:B97"/>
    <mergeCell ref="A105:A110"/>
    <mergeCell ref="A176:A181"/>
    <mergeCell ref="B169:B172"/>
    <mergeCell ref="B176:B181"/>
    <mergeCell ref="A200:A205"/>
    <mergeCell ref="A188:C188"/>
    <mergeCell ref="A175:C175"/>
    <mergeCell ref="B211:B216"/>
    <mergeCell ref="A211:A216"/>
    <mergeCell ref="A169:A172"/>
    <mergeCell ref="B182:B184"/>
    <mergeCell ref="A187:C187"/>
    <mergeCell ref="A189:A194"/>
    <mergeCell ref="B189:B194"/>
    <mergeCell ref="B206:B208"/>
    <mergeCell ref="A195:A196"/>
    <mergeCell ref="B195:B196"/>
    <mergeCell ref="A182:A184"/>
    <mergeCell ref="B200:B205"/>
    <mergeCell ref="B245:B250"/>
    <mergeCell ref="A231:C231"/>
    <mergeCell ref="A255:C255"/>
    <mergeCell ref="A199:C199"/>
    <mergeCell ref="A287:C287"/>
    <mergeCell ref="A267:A272"/>
    <mergeCell ref="B267:B272"/>
    <mergeCell ref="A277:C277"/>
    <mergeCell ref="B257:B262"/>
    <mergeCell ref="A265:C265"/>
    <mergeCell ref="A266:C266"/>
    <mergeCell ref="A273:A275"/>
    <mergeCell ref="B273:B275"/>
    <mergeCell ref="A286:C286"/>
    <mergeCell ref="B279:B283"/>
    <mergeCell ref="A279:A283"/>
    <mergeCell ref="A239:A241"/>
    <mergeCell ref="B239:B241"/>
    <mergeCell ref="A206:A208"/>
  </mergeCells>
  <phoneticPr fontId="1" type="noConversion"/>
  <conditionalFormatting sqref="H319:H324 H316:H317 H278:H285 H266:H276 H296:H302 D296:D302 D304:D311 D319:D324 D316:D317 E320:G320 D287:D294 D278:D285 D266:D276 H244:H254 H207:H209 H190:H194 H170:H173 H161 H156:H159 H147 H222:H230 H175 H177:H181 H183:H186 H188 H199 H201:H205 H220 D244:D254 D232:D242 D207:D209 D190:D194 D170:D173 D161 D156:D159 D147 D222:D230 D149:D154 D163:D168 D175 D177:D181 D183:D186 D188 D199 D201:D205 D220 D211:D218 H139:H143 H115 H126 H137 D139:D143 D128:D135 D115 D126 D137 H100:H102 H104 D100:D102 D90:D98 D104 D106:D108 D77:D83 D59:D66 D52:D57 D47:D50 H287:H294 H59:H66 L260 H47:H50 H77:H83 H52:H57 H128:H135 H304:H311 J338:L338 H211:H218 H85:H88 D85:D88 H232:H242 D110:D113 H106:H110 H112:H113 H196:H197 D196:D197 H145 D145 H256:H264 D256:D264 D117:D124 H117:H124 I320:J320 H90:H98 H149:H154 H163:H168 D13:D45 H13:H45 D68:D75 H68:H75 H314 D314 D329:K345">
    <cfRule type="cellIs" dxfId="2" priority="8" stopIfTrue="1" operator="equal">
      <formula>0</formula>
    </cfRule>
  </conditionalFormatting>
  <conditionalFormatting sqref="H111">
    <cfRule type="cellIs" dxfId="1" priority="2" stopIfTrue="1" operator="equal">
      <formula>0</formula>
    </cfRule>
  </conditionalFormatting>
  <conditionalFormatting sqref="D312:D313 H312:H313">
    <cfRule type="cellIs" dxfId="0" priority="1" stopIfTrue="1" operator="equal">
      <formula>0</formula>
    </cfRule>
  </conditionalFormatting>
  <pageMargins left="0.59055118110236227" right="0.19685039370078741" top="0.78740157480314965" bottom="0.39370078740157483" header="0.31496062992125984" footer="0"/>
  <pageSetup paperSize="9" orientation="portrait" r:id="rId1"/>
  <headerFooter differentFirst="1" alignWithMargins="0">
    <oddHeader>&amp;C&amp;P</oddHeader>
  </headerFooter>
  <rowBreaks count="2" manualBreakCount="2">
    <brk id="159" max="16383" man="1"/>
    <brk id="2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2021</vt:lpstr>
      <vt:lpstr>'2021'!Print_Titles</vt:lpstr>
    </vt:vector>
  </TitlesOfParts>
  <Company>Eksitonas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Aidas</dc:creator>
  <cp:lastModifiedBy>daiva_k</cp:lastModifiedBy>
  <cp:lastPrinted>2021-02-15T13:13:25Z</cp:lastPrinted>
  <dcterms:created xsi:type="dcterms:W3CDTF">2008-12-14T21:40:51Z</dcterms:created>
  <dcterms:modified xsi:type="dcterms:W3CDTF">2021-02-15T13:13:28Z</dcterms:modified>
</cp:coreProperties>
</file>