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4_2026\2024_2026_SVP_05_02_T_\Nauja_redakcija\"/>
    </mc:Choice>
  </mc:AlternateContent>
  <xr:revisionPtr revIDLastSave="0" documentId="13_ncr:1_{112CE5AF-967F-4184-B6F9-76111E74CA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F16" i="2" l="1"/>
  <c r="G16" i="2"/>
  <c r="H16" i="2"/>
  <c r="I16" i="2"/>
  <c r="F19" i="2"/>
  <c r="G19" i="2"/>
  <c r="H19" i="2"/>
  <c r="I19" i="2"/>
  <c r="F30" i="2"/>
  <c r="G30" i="2"/>
  <c r="H30" i="2"/>
  <c r="I30" i="2"/>
  <c r="F34" i="2"/>
  <c r="G34" i="2"/>
  <c r="H34" i="2"/>
  <c r="I34" i="2"/>
  <c r="F38" i="2"/>
  <c r="G38" i="2"/>
  <c r="H38" i="2"/>
  <c r="I38" i="2"/>
  <c r="F42" i="2"/>
  <c r="F41" i="2" s="1"/>
  <c r="G42" i="2"/>
  <c r="G41" i="2" s="1"/>
  <c r="H42" i="2"/>
  <c r="H41" i="2" s="1"/>
  <c r="I42" i="2"/>
  <c r="I41" i="2" s="1"/>
  <c r="F48" i="2"/>
  <c r="G48" i="2"/>
  <c r="H48" i="2"/>
  <c r="I48" i="2"/>
  <c r="F51" i="2"/>
  <c r="G51" i="2"/>
  <c r="H51" i="2"/>
  <c r="I51" i="2"/>
  <c r="F62" i="2"/>
  <c r="F58" i="2" s="1"/>
  <c r="G62" i="2"/>
  <c r="G58" i="2" s="1"/>
  <c r="H62" i="2"/>
  <c r="H58" i="2" s="1"/>
  <c r="I62" i="2"/>
  <c r="I58" i="2" s="1"/>
  <c r="F66" i="2"/>
  <c r="G66" i="2"/>
  <c r="H66" i="2"/>
  <c r="I66" i="2"/>
  <c r="F76" i="2"/>
  <c r="G76" i="2"/>
  <c r="H76" i="2"/>
  <c r="I76" i="2"/>
  <c r="F79" i="2"/>
  <c r="G79" i="2"/>
  <c r="H79" i="2"/>
  <c r="I79" i="2"/>
  <c r="F82" i="2"/>
  <c r="G82" i="2"/>
  <c r="H82" i="2"/>
  <c r="I82" i="2"/>
  <c r="F85" i="2"/>
  <c r="G85" i="2"/>
  <c r="H85" i="2"/>
  <c r="I85" i="2"/>
  <c r="F95" i="2"/>
  <c r="F94" i="2" s="1"/>
  <c r="G95" i="2"/>
  <c r="G94" i="2" s="1"/>
  <c r="H95" i="2"/>
  <c r="H94" i="2" s="1"/>
  <c r="I95" i="2"/>
  <c r="I94" i="2" s="1"/>
  <c r="F100" i="2"/>
  <c r="G100" i="2"/>
  <c r="H100" i="2"/>
  <c r="I100" i="2"/>
  <c r="F106" i="2"/>
  <c r="G106" i="2"/>
  <c r="H106" i="2"/>
  <c r="I106" i="2"/>
  <c r="F109" i="2"/>
  <c r="G109" i="2"/>
  <c r="H109" i="2"/>
  <c r="I109" i="2"/>
  <c r="F111" i="2"/>
  <c r="G111" i="2"/>
  <c r="H111" i="2"/>
  <c r="I111" i="2"/>
  <c r="F114" i="2"/>
  <c r="G114" i="2"/>
  <c r="H114" i="2"/>
  <c r="I114" i="2"/>
  <c r="F118" i="2"/>
  <c r="G118" i="2"/>
  <c r="H118" i="2"/>
  <c r="I118" i="2"/>
  <c r="F120" i="2"/>
  <c r="G120" i="2"/>
  <c r="H120" i="2"/>
  <c r="I120" i="2"/>
  <c r="F125" i="2"/>
  <c r="G125" i="2"/>
  <c r="H125" i="2"/>
  <c r="I125" i="2"/>
  <c r="F128" i="2"/>
  <c r="G128" i="2"/>
  <c r="H128" i="2"/>
  <c r="I128" i="2"/>
  <c r="F132" i="2"/>
  <c r="G132" i="2"/>
  <c r="H132" i="2"/>
  <c r="I132" i="2"/>
  <c r="F140" i="2"/>
  <c r="F138" i="2" s="1"/>
  <c r="G140" i="2"/>
  <c r="G138" i="2" s="1"/>
  <c r="H140" i="2"/>
  <c r="H138" i="2" s="1"/>
  <c r="I140" i="2"/>
  <c r="I138" i="2" s="1"/>
  <c r="F146" i="2"/>
  <c r="G146" i="2"/>
  <c r="H146" i="2"/>
  <c r="I146" i="2"/>
  <c r="F151" i="2"/>
  <c r="G151" i="2"/>
  <c r="H151" i="2"/>
  <c r="I151" i="2"/>
  <c r="F155" i="2"/>
  <c r="G155" i="2"/>
  <c r="H155" i="2"/>
  <c r="I155" i="2"/>
  <c r="F158" i="2"/>
  <c r="G158" i="2"/>
  <c r="H158" i="2"/>
  <c r="I158" i="2"/>
  <c r="F161" i="2"/>
  <c r="G161" i="2"/>
  <c r="H161" i="2"/>
  <c r="I161" i="2"/>
  <c r="F169" i="2"/>
  <c r="G169" i="2"/>
  <c r="H169" i="2"/>
  <c r="I169" i="2"/>
  <c r="F171" i="2"/>
  <c r="G171" i="2"/>
  <c r="H171" i="2"/>
  <c r="I171" i="2"/>
  <c r="F175" i="2"/>
  <c r="G175" i="2"/>
  <c r="H175" i="2"/>
  <c r="I175" i="2"/>
  <c r="F179" i="2"/>
  <c r="G179" i="2"/>
  <c r="H179" i="2"/>
  <c r="I179" i="2"/>
  <c r="F185" i="2"/>
  <c r="G185" i="2"/>
  <c r="H185" i="2"/>
  <c r="I185" i="2"/>
  <c r="F191" i="2"/>
  <c r="G191" i="2"/>
  <c r="H191" i="2"/>
  <c r="I191" i="2"/>
  <c r="F194" i="2"/>
  <c r="G194" i="2"/>
  <c r="H194" i="2"/>
  <c r="I194" i="2"/>
  <c r="F197" i="2"/>
  <c r="G197" i="2"/>
  <c r="H197" i="2"/>
  <c r="I197" i="2"/>
  <c r="F205" i="2"/>
  <c r="G205" i="2"/>
  <c r="H205" i="2"/>
  <c r="I205" i="2"/>
  <c r="F209" i="2"/>
  <c r="G209" i="2"/>
  <c r="H209" i="2"/>
  <c r="I209" i="2"/>
  <c r="F219" i="2"/>
  <c r="G219" i="2"/>
  <c r="H219" i="2"/>
  <c r="I219" i="2"/>
  <c r="F222" i="2"/>
  <c r="G222" i="2"/>
  <c r="H222" i="2"/>
  <c r="I222" i="2"/>
  <c r="F226" i="2"/>
  <c r="G226" i="2"/>
  <c r="H226" i="2"/>
  <c r="I226" i="2"/>
  <c r="F229" i="2"/>
  <c r="G229" i="2"/>
  <c r="H229" i="2"/>
  <c r="I229" i="2"/>
  <c r="F234" i="2"/>
  <c r="G234" i="2"/>
  <c r="H234" i="2"/>
  <c r="I234" i="2"/>
  <c r="F236" i="2"/>
  <c r="G236" i="2"/>
  <c r="H236" i="2"/>
  <c r="I236" i="2"/>
  <c r="F240" i="2"/>
  <c r="G240" i="2"/>
  <c r="H240" i="2"/>
  <c r="I240" i="2"/>
  <c r="F253" i="2"/>
  <c r="G253" i="2"/>
  <c r="H253" i="2"/>
  <c r="I253" i="2"/>
  <c r="F257" i="2"/>
  <c r="G257" i="2"/>
  <c r="H257" i="2"/>
  <c r="I257" i="2"/>
  <c r="F261" i="2"/>
  <c r="G261" i="2"/>
  <c r="H261" i="2"/>
  <c r="I261" i="2"/>
  <c r="F265" i="2"/>
  <c r="G265" i="2"/>
  <c r="H265" i="2"/>
  <c r="I265" i="2"/>
  <c r="F271" i="2"/>
  <c r="F269" i="2" s="1"/>
  <c r="G271" i="2"/>
  <c r="G269" i="2" s="1"/>
  <c r="H271" i="2"/>
  <c r="H269" i="2" s="1"/>
  <c r="I271" i="2"/>
  <c r="I269" i="2" s="1"/>
  <c r="F282" i="2"/>
  <c r="G282" i="2"/>
  <c r="H282" i="2"/>
  <c r="I282" i="2"/>
  <c r="F290" i="2"/>
  <c r="G290" i="2"/>
  <c r="H290" i="2"/>
  <c r="I290" i="2"/>
  <c r="F295" i="2"/>
  <c r="G295" i="2"/>
  <c r="H295" i="2"/>
  <c r="I295" i="2"/>
  <c r="F297" i="2"/>
  <c r="G297" i="2"/>
  <c r="H297" i="2"/>
  <c r="I297" i="2"/>
  <c r="F300" i="2"/>
  <c r="G300" i="2"/>
  <c r="H300" i="2"/>
  <c r="I300" i="2"/>
  <c r="F304" i="2"/>
  <c r="G304" i="2"/>
  <c r="H304" i="2"/>
  <c r="I304" i="2"/>
  <c r="F312" i="2"/>
  <c r="G312" i="2"/>
  <c r="H312" i="2"/>
  <c r="I312" i="2"/>
  <c r="F316" i="2"/>
  <c r="G316" i="2"/>
  <c r="H316" i="2"/>
  <c r="I316" i="2"/>
  <c r="F318" i="2"/>
  <c r="G318" i="2"/>
  <c r="H318" i="2"/>
  <c r="I318" i="2"/>
  <c r="F320" i="2"/>
  <c r="G320" i="2"/>
  <c r="H320" i="2"/>
  <c r="I320" i="2"/>
  <c r="F326" i="2"/>
  <c r="G326" i="2"/>
  <c r="H326" i="2"/>
  <c r="I326" i="2"/>
  <c r="F328" i="2"/>
  <c r="G328" i="2"/>
  <c r="H328" i="2"/>
  <c r="I328" i="2"/>
  <c r="F333" i="2"/>
  <c r="F332" i="2" s="1"/>
  <c r="G333" i="2"/>
  <c r="G332" i="2" s="1"/>
  <c r="H333" i="2"/>
  <c r="H332" i="2" s="1"/>
  <c r="I333" i="2"/>
  <c r="I332" i="2" s="1"/>
  <c r="F340" i="2"/>
  <c r="G340" i="2"/>
  <c r="H340" i="2"/>
  <c r="I340" i="2"/>
  <c r="F349" i="2"/>
  <c r="G349" i="2"/>
  <c r="H349" i="2"/>
  <c r="I349" i="2"/>
  <c r="F353" i="2"/>
  <c r="G353" i="2"/>
  <c r="H353" i="2"/>
  <c r="I353" i="2"/>
  <c r="F366" i="2"/>
  <c r="G366" i="2"/>
  <c r="H366" i="2"/>
  <c r="I366" i="2"/>
  <c r="F375" i="2"/>
  <c r="G375" i="2"/>
  <c r="H375" i="2"/>
  <c r="I375" i="2"/>
  <c r="F378" i="2"/>
  <c r="G378" i="2"/>
  <c r="H378" i="2"/>
  <c r="I378" i="2"/>
  <c r="F381" i="2"/>
  <c r="G381" i="2"/>
  <c r="H381" i="2"/>
  <c r="I381" i="2"/>
  <c r="F389" i="2"/>
  <c r="G389" i="2"/>
  <c r="H389" i="2"/>
  <c r="I389" i="2"/>
  <c r="F393" i="2"/>
  <c r="G393" i="2"/>
  <c r="H393" i="2"/>
  <c r="I393" i="2"/>
  <c r="F404" i="2"/>
  <c r="G404" i="2"/>
  <c r="H404" i="2"/>
  <c r="I404" i="2"/>
  <c r="F409" i="2"/>
  <c r="G409" i="2"/>
  <c r="H409" i="2"/>
  <c r="I409" i="2"/>
  <c r="F413" i="2"/>
  <c r="G413" i="2"/>
  <c r="H413" i="2"/>
  <c r="I413" i="2"/>
  <c r="F418" i="2"/>
  <c r="G418" i="2"/>
  <c r="H418" i="2"/>
  <c r="I418" i="2"/>
  <c r="F421" i="2"/>
  <c r="G421" i="2"/>
  <c r="H421" i="2"/>
  <c r="I421" i="2"/>
  <c r="F428" i="2"/>
  <c r="G428" i="2"/>
  <c r="H428" i="2"/>
  <c r="I428" i="2"/>
  <c r="F431" i="2"/>
  <c r="G431" i="2"/>
  <c r="H431" i="2"/>
  <c r="I431" i="2"/>
  <c r="F434" i="2"/>
  <c r="G434" i="2"/>
  <c r="H434" i="2"/>
  <c r="I434" i="2"/>
  <c r="F441" i="2"/>
  <c r="G441" i="2"/>
  <c r="H441" i="2"/>
  <c r="I441" i="2"/>
  <c r="F444" i="2"/>
  <c r="G444" i="2"/>
  <c r="H444" i="2"/>
  <c r="I444" i="2"/>
  <c r="F447" i="2"/>
  <c r="G447" i="2"/>
  <c r="H447" i="2"/>
  <c r="I447" i="2"/>
  <c r="F450" i="2"/>
  <c r="G450" i="2"/>
  <c r="H450" i="2"/>
  <c r="I450" i="2"/>
  <c r="F453" i="2"/>
  <c r="G453" i="2"/>
  <c r="H453" i="2"/>
  <c r="I453" i="2"/>
  <c r="F459" i="2"/>
  <c r="G459" i="2"/>
  <c r="H459" i="2"/>
  <c r="I459" i="2"/>
  <c r="F463" i="2"/>
  <c r="G463" i="2"/>
  <c r="H463" i="2"/>
  <c r="I463" i="2"/>
  <c r="F466" i="2"/>
  <c r="G466" i="2"/>
  <c r="H466" i="2"/>
  <c r="I466" i="2"/>
  <c r="F469" i="2"/>
  <c r="G469" i="2"/>
  <c r="H469" i="2"/>
  <c r="I469" i="2"/>
  <c r="F475" i="2"/>
  <c r="G475" i="2"/>
  <c r="H475" i="2"/>
  <c r="I475" i="2"/>
  <c r="F478" i="2"/>
  <c r="G478" i="2"/>
  <c r="H478" i="2"/>
  <c r="I478" i="2"/>
  <c r="F481" i="2"/>
  <c r="G481" i="2"/>
  <c r="H481" i="2"/>
  <c r="I481" i="2"/>
  <c r="F484" i="2"/>
  <c r="G484" i="2"/>
  <c r="H484" i="2"/>
  <c r="I484" i="2"/>
  <c r="F490" i="2"/>
  <c r="G490" i="2"/>
  <c r="H490" i="2"/>
  <c r="I490" i="2"/>
  <c r="F493" i="2"/>
  <c r="G493" i="2"/>
  <c r="H493" i="2"/>
  <c r="I493" i="2"/>
  <c r="F496" i="2"/>
  <c r="G496" i="2"/>
  <c r="H496" i="2"/>
  <c r="I496" i="2"/>
  <c r="F500" i="2"/>
  <c r="G500" i="2"/>
  <c r="H500" i="2"/>
  <c r="I500" i="2"/>
  <c r="F503" i="2"/>
  <c r="G503" i="2"/>
  <c r="H503" i="2"/>
  <c r="I503" i="2"/>
  <c r="F506" i="2"/>
  <c r="G506" i="2"/>
  <c r="H506" i="2"/>
  <c r="I506" i="2"/>
  <c r="F511" i="2"/>
  <c r="G511" i="2"/>
  <c r="H511" i="2"/>
  <c r="I511" i="2"/>
  <c r="F517" i="2"/>
  <c r="G517" i="2"/>
  <c r="H517" i="2"/>
  <c r="I517" i="2"/>
  <c r="F522" i="2"/>
  <c r="G522" i="2"/>
  <c r="H522" i="2"/>
  <c r="I522" i="2"/>
  <c r="F526" i="2"/>
  <c r="G526" i="2"/>
  <c r="H526" i="2"/>
  <c r="I526" i="2"/>
  <c r="F530" i="2"/>
  <c r="G530" i="2"/>
  <c r="H530" i="2"/>
  <c r="I530" i="2"/>
  <c r="F532" i="2"/>
  <c r="G532" i="2"/>
  <c r="H532" i="2"/>
  <c r="I532" i="2"/>
  <c r="F542" i="2"/>
  <c r="G542" i="2"/>
  <c r="H542" i="2"/>
  <c r="I542" i="2"/>
  <c r="F549" i="2"/>
  <c r="G549" i="2"/>
  <c r="H549" i="2"/>
  <c r="I549" i="2"/>
  <c r="F553" i="2"/>
  <c r="G553" i="2"/>
  <c r="H553" i="2"/>
  <c r="I553" i="2"/>
  <c r="F558" i="2"/>
  <c r="G558" i="2"/>
  <c r="H558" i="2"/>
  <c r="I558" i="2"/>
  <c r="F567" i="2"/>
  <c r="G567" i="2"/>
  <c r="H567" i="2"/>
  <c r="I567" i="2"/>
  <c r="F570" i="2"/>
  <c r="G570" i="2"/>
  <c r="H570" i="2"/>
  <c r="I570" i="2"/>
  <c r="F573" i="2"/>
  <c r="G573" i="2"/>
  <c r="H573" i="2"/>
  <c r="I573" i="2"/>
  <c r="F576" i="2"/>
  <c r="G576" i="2"/>
  <c r="H576" i="2"/>
  <c r="I576" i="2"/>
  <c r="F578" i="2"/>
  <c r="G578" i="2"/>
  <c r="H578" i="2"/>
  <c r="I578" i="2"/>
  <c r="F581" i="2"/>
  <c r="G581" i="2"/>
  <c r="H581" i="2"/>
  <c r="I581" i="2"/>
  <c r="F586" i="2"/>
  <c r="G586" i="2"/>
  <c r="H586" i="2"/>
  <c r="I586" i="2"/>
  <c r="F593" i="2"/>
  <c r="G593" i="2"/>
  <c r="H593" i="2"/>
  <c r="I593" i="2"/>
  <c r="F595" i="2"/>
  <c r="G595" i="2"/>
  <c r="H595" i="2"/>
  <c r="I595" i="2"/>
  <c r="F600" i="2"/>
  <c r="G600" i="2"/>
  <c r="H600" i="2"/>
  <c r="I600" i="2"/>
  <c r="F605" i="2"/>
  <c r="G605" i="2"/>
  <c r="H605" i="2"/>
  <c r="I605" i="2"/>
  <c r="F607" i="2"/>
  <c r="G607" i="2"/>
  <c r="H607" i="2"/>
  <c r="I607" i="2"/>
  <c r="F611" i="2"/>
  <c r="G611" i="2"/>
  <c r="H611" i="2"/>
  <c r="I611" i="2"/>
  <c r="F614" i="2"/>
  <c r="G614" i="2"/>
  <c r="H614" i="2"/>
  <c r="I614" i="2"/>
  <c r="F623" i="2"/>
  <c r="G623" i="2"/>
  <c r="H623" i="2"/>
  <c r="I623" i="2"/>
  <c r="F634" i="2"/>
  <c r="G634" i="2"/>
  <c r="H634" i="2"/>
  <c r="I634" i="2"/>
  <c r="F637" i="2"/>
  <c r="G637" i="2"/>
  <c r="H637" i="2"/>
  <c r="I637" i="2"/>
  <c r="F640" i="2"/>
  <c r="G640" i="2"/>
  <c r="H640" i="2"/>
  <c r="I640" i="2"/>
  <c r="F643" i="2"/>
  <c r="G643" i="2"/>
  <c r="H643" i="2"/>
  <c r="I643" i="2"/>
  <c r="F647" i="2"/>
  <c r="G647" i="2"/>
  <c r="H647" i="2"/>
  <c r="I647" i="2"/>
  <c r="F650" i="2"/>
  <c r="G650" i="2"/>
  <c r="H650" i="2"/>
  <c r="I650" i="2"/>
  <c r="F670" i="2"/>
  <c r="G670" i="2"/>
  <c r="H670" i="2"/>
  <c r="I670" i="2"/>
  <c r="F672" i="2"/>
  <c r="G672" i="2"/>
  <c r="H672" i="2"/>
  <c r="I672" i="2"/>
  <c r="H678" i="2"/>
  <c r="F680" i="2"/>
  <c r="F678" i="2" s="1"/>
  <c r="G680" i="2"/>
  <c r="G678" i="2" s="1"/>
  <c r="H680" i="2"/>
  <c r="I680" i="2"/>
  <c r="I678" i="2" s="1"/>
  <c r="F684" i="2"/>
  <c r="G684" i="2"/>
  <c r="H684" i="2"/>
  <c r="I684" i="2"/>
  <c r="F687" i="2"/>
  <c r="G687" i="2"/>
  <c r="H687" i="2"/>
  <c r="I687" i="2"/>
  <c r="F691" i="2"/>
  <c r="G691" i="2"/>
  <c r="H691" i="2"/>
  <c r="I691" i="2"/>
  <c r="F693" i="2"/>
  <c r="G693" i="2"/>
  <c r="H693" i="2"/>
  <c r="I693" i="2"/>
  <c r="F701" i="2"/>
  <c r="G701" i="2"/>
  <c r="H701" i="2"/>
  <c r="I701" i="2"/>
  <c r="F705" i="2"/>
  <c r="G705" i="2"/>
  <c r="H705" i="2"/>
  <c r="I705" i="2"/>
  <c r="F708" i="2"/>
  <c r="G708" i="2"/>
  <c r="H708" i="2"/>
  <c r="I708" i="2"/>
  <c r="F710" i="2"/>
  <c r="G710" i="2"/>
  <c r="H710" i="2"/>
  <c r="I710" i="2"/>
  <c r="F713" i="2"/>
  <c r="G713" i="2"/>
  <c r="H713" i="2"/>
  <c r="I713" i="2"/>
  <c r="C725" i="2"/>
  <c r="D725" i="2"/>
  <c r="E725" i="2"/>
  <c r="F725" i="2"/>
  <c r="C738" i="2"/>
  <c r="D738" i="2"/>
  <c r="E738" i="2"/>
  <c r="F738" i="2"/>
  <c r="H653" i="2" l="1"/>
  <c r="H33" i="2"/>
  <c r="G653" i="2"/>
  <c r="I339" i="2"/>
  <c r="G217" i="2"/>
  <c r="I204" i="2"/>
  <c r="F742" i="2"/>
  <c r="F653" i="2"/>
  <c r="F117" i="2"/>
  <c r="F90" i="2"/>
  <c r="F252" i="2"/>
  <c r="F217" i="2"/>
  <c r="G145" i="2"/>
  <c r="I33" i="2"/>
  <c r="C742" i="2"/>
  <c r="D742" i="2"/>
  <c r="G204" i="2"/>
  <c r="H281" i="2"/>
  <c r="I90" i="2"/>
  <c r="F47" i="2"/>
  <c r="G281" i="2"/>
  <c r="G225" i="2"/>
  <c r="G90" i="2"/>
  <c r="H65" i="2"/>
  <c r="H55" i="2" s="1"/>
  <c r="I683" i="2"/>
  <c r="G683" i="2"/>
  <c r="I653" i="2"/>
  <c r="F590" i="2"/>
  <c r="H417" i="2"/>
  <c r="H416" i="2" s="1"/>
  <c r="H339" i="2"/>
  <c r="H225" i="2"/>
  <c r="H217" i="2"/>
  <c r="H213" i="2" s="1"/>
  <c r="H212" i="2" s="1"/>
  <c r="I145" i="2"/>
  <c r="F124" i="2"/>
  <c r="H124" i="2"/>
  <c r="H47" i="2"/>
  <c r="E742" i="2"/>
  <c r="F683" i="2"/>
  <c r="G489" i="2"/>
  <c r="G417" i="2"/>
  <c r="G416" i="2" s="1"/>
  <c r="G339" i="2"/>
  <c r="I311" i="2"/>
  <c r="F165" i="2"/>
  <c r="I47" i="2"/>
  <c r="F599" i="2"/>
  <c r="H510" i="2"/>
  <c r="I184" i="2"/>
  <c r="H15" i="2"/>
  <c r="F510" i="2"/>
  <c r="F260" i="2"/>
  <c r="H90" i="2"/>
  <c r="F699" i="2"/>
  <c r="F697" i="2" s="1"/>
  <c r="I622" i="2"/>
  <c r="I510" i="2"/>
  <c r="G252" i="2"/>
  <c r="G251" i="2" s="1"/>
  <c r="G250" i="2" s="1"/>
  <c r="F184" i="2"/>
  <c r="H145" i="2"/>
  <c r="F145" i="2"/>
  <c r="I117" i="2"/>
  <c r="G117" i="2"/>
  <c r="G105" i="2"/>
  <c r="G33" i="2"/>
  <c r="H590" i="2"/>
  <c r="G510" i="2"/>
  <c r="H260" i="2"/>
  <c r="I124" i="2"/>
  <c r="G124" i="2"/>
  <c r="I590" i="2"/>
  <c r="G590" i="2"/>
  <c r="H489" i="2"/>
  <c r="I260" i="2"/>
  <c r="G260" i="2"/>
  <c r="I165" i="2"/>
  <c r="H117" i="2"/>
  <c r="I15" i="2"/>
  <c r="I14" i="2" s="1"/>
  <c r="I13" i="2" s="1"/>
  <c r="F541" i="2"/>
  <c r="F525" i="2"/>
  <c r="H525" i="2"/>
  <c r="I365" i="2"/>
  <c r="H252" i="2"/>
  <c r="I217" i="2"/>
  <c r="H154" i="2"/>
  <c r="F154" i="2"/>
  <c r="G65" i="2"/>
  <c r="G55" i="2" s="1"/>
  <c r="I65" i="2"/>
  <c r="I55" i="2" s="1"/>
  <c r="G47" i="2"/>
  <c r="G15" i="2"/>
  <c r="H683" i="2"/>
  <c r="I525" i="2"/>
  <c r="G525" i="2"/>
  <c r="F339" i="2"/>
  <c r="I252" i="2"/>
  <c r="H204" i="2"/>
  <c r="F204" i="2"/>
  <c r="I154" i="2"/>
  <c r="G154" i="2"/>
  <c r="H105" i="2"/>
  <c r="F105" i="2"/>
  <c r="F33" i="2"/>
  <c r="G365" i="2"/>
  <c r="I489" i="2"/>
  <c r="F281" i="2"/>
  <c r="I105" i="2"/>
  <c r="H599" i="2"/>
  <c r="H541" i="2"/>
  <c r="I281" i="2"/>
  <c r="G599" i="2"/>
  <c r="G541" i="2"/>
  <c r="H165" i="2"/>
  <c r="H699" i="2"/>
  <c r="H697" i="2" s="1"/>
  <c r="H622" i="2"/>
  <c r="F622" i="2"/>
  <c r="F417" i="2"/>
  <c r="F416" i="2" s="1"/>
  <c r="H311" i="2"/>
  <c r="F311" i="2"/>
  <c r="F225" i="2"/>
  <c r="F213" i="2" s="1"/>
  <c r="F212" i="2" s="1"/>
  <c r="G184" i="2"/>
  <c r="G165" i="2"/>
  <c r="F489" i="2"/>
  <c r="F65" i="2"/>
  <c r="F55" i="2" s="1"/>
  <c r="I599" i="2"/>
  <c r="I541" i="2"/>
  <c r="H184" i="2"/>
  <c r="I699" i="2"/>
  <c r="I697" i="2" s="1"/>
  <c r="G699" i="2"/>
  <c r="G697" i="2" s="1"/>
  <c r="G622" i="2"/>
  <c r="I417" i="2"/>
  <c r="I416" i="2" s="1"/>
  <c r="H365" i="2"/>
  <c r="F365" i="2"/>
  <c r="G311" i="2"/>
  <c r="I225" i="2"/>
  <c r="F15" i="2"/>
  <c r="I183" i="2" l="1"/>
  <c r="G279" i="2"/>
  <c r="G278" i="2" s="1"/>
  <c r="H14" i="2"/>
  <c r="H13" i="2" s="1"/>
  <c r="I619" i="2"/>
  <c r="F251" i="2"/>
  <c r="F250" i="2" s="1"/>
  <c r="G213" i="2"/>
  <c r="G212" i="2" s="1"/>
  <c r="F104" i="2"/>
  <c r="F103" i="2" s="1"/>
  <c r="F54" i="2"/>
  <c r="H183" i="2"/>
  <c r="F619" i="2"/>
  <c r="F618" i="2" s="1"/>
  <c r="G183" i="2"/>
  <c r="F183" i="2"/>
  <c r="G104" i="2"/>
  <c r="G103" i="2" s="1"/>
  <c r="H54" i="2"/>
  <c r="H279" i="2"/>
  <c r="H278" i="2" s="1"/>
  <c r="I213" i="2"/>
  <c r="I212" i="2" s="1"/>
  <c r="G538" i="2"/>
  <c r="G537" i="2" s="1"/>
  <c r="I54" i="2"/>
  <c r="I337" i="2"/>
  <c r="H104" i="2"/>
  <c r="H103" i="2" s="1"/>
  <c r="I336" i="2"/>
  <c r="G337" i="2"/>
  <c r="G336" i="2" s="1"/>
  <c r="I618" i="2"/>
  <c r="F337" i="2"/>
  <c r="F336" i="2" s="1"/>
  <c r="I144" i="2"/>
  <c r="I143" i="2" s="1"/>
  <c r="G54" i="2"/>
  <c r="H337" i="2"/>
  <c r="H336" i="2" s="1"/>
  <c r="F144" i="2"/>
  <c r="I538" i="2"/>
  <c r="I537" i="2" s="1"/>
  <c r="G144" i="2"/>
  <c r="I104" i="2"/>
  <c r="I103" i="2" s="1"/>
  <c r="F538" i="2"/>
  <c r="F537" i="2" s="1"/>
  <c r="G488" i="2"/>
  <c r="G487" i="2" s="1"/>
  <c r="G619" i="2"/>
  <c r="G618" i="2" s="1"/>
  <c r="H619" i="2"/>
  <c r="H618" i="2" s="1"/>
  <c r="G14" i="2"/>
  <c r="G13" i="2" s="1"/>
  <c r="I279" i="2"/>
  <c r="I278" i="2" s="1"/>
  <c r="H488" i="2"/>
  <c r="H487" i="2" s="1"/>
  <c r="F488" i="2"/>
  <c r="F487" i="2" s="1"/>
  <c r="I488" i="2"/>
  <c r="I487" i="2" s="1"/>
  <c r="I251" i="2"/>
  <c r="I250" i="2" s="1"/>
  <c r="F14" i="2"/>
  <c r="F13" i="2" s="1"/>
  <c r="H251" i="2"/>
  <c r="H250" i="2" s="1"/>
  <c r="H144" i="2"/>
  <c r="H538" i="2"/>
  <c r="H537" i="2" s="1"/>
  <c r="F279" i="2"/>
  <c r="F278" i="2" s="1"/>
  <c r="H143" i="2" l="1"/>
  <c r="G143" i="2"/>
  <c r="F143" i="2"/>
</calcChain>
</file>

<file path=xl/sharedStrings.xml><?xml version="1.0" encoding="utf-8"?>
<sst xmlns="http://schemas.openxmlformats.org/spreadsheetml/2006/main" count="2319" uniqueCount="1183">
  <si>
    <t>ŠIAULIŲ MIESTO SAVIVALDYBĖS 2024–2026 METŲ STRATEGINIO VEIKLOS PLANO TIKSLŲ, UŽDAVINIŲ, PRIEMONIŲ, PRIEMONIŲ IŠLAIDŲ IR PRODUKTO KRITERIJŲ SUVESTINĖ</t>
  </si>
  <si>
    <t>Kodas</t>
  </si>
  <si>
    <t>Pavadinimas</t>
  </si>
  <si>
    <t>Vykdytojas</t>
  </si>
  <si>
    <t>SP lėšos</t>
  </si>
  <si>
    <t>Papildomas (-i) požymis (-iai)</t>
  </si>
  <si>
    <t>2024 metų patvirtinti asignavimai Nr. T-1 (2024-02-01)</t>
  </si>
  <si>
    <t>2024 metų patikslinti asignavimai</t>
  </si>
  <si>
    <t>2025 metų lėšų projektas</t>
  </si>
  <si>
    <t>2026 metų lėšų projektas</t>
  </si>
  <si>
    <t>Efekto /Rezultato /Produkto /Indėlio</t>
  </si>
  <si>
    <t>Rodiklis</t>
  </si>
  <si>
    <t>Mato vnt.</t>
  </si>
  <si>
    <t>Planas</t>
  </si>
  <si>
    <t>2024</t>
  </si>
  <si>
    <t>2025</t>
  </si>
  <si>
    <t>2026</t>
  </si>
  <si>
    <t>01.</t>
  </si>
  <si>
    <t>Miesto urbanistinės plėtros programa</t>
  </si>
  <si>
    <t>Miesto plėtros ir paveldosaugos skyrius</t>
  </si>
  <si>
    <t>proc.</t>
  </si>
  <si>
    <t>01.01.</t>
  </si>
  <si>
    <t>Užtikrinti kompleksišką ir darnų miesto planavimą</t>
  </si>
  <si>
    <t>Žemės valdymo skyrius</t>
  </si>
  <si>
    <t>Parengtų teritorijų planavimo, žemėtvarkos planavimo, žemės sklypų kadastrinių matavimų dokumentų</t>
  </si>
  <si>
    <t>vnt.</t>
  </si>
  <si>
    <t>01.01.01.</t>
  </si>
  <si>
    <t>Rengti teritorijų planavimo dokumentus, padedančius užtikrinti darniąją miesto plėtrą</t>
  </si>
  <si>
    <t>Architektūros skyrius</t>
  </si>
  <si>
    <t>01.01.01.01</t>
  </si>
  <si>
    <t>Koreguoti Šiaulių miesto savivaldybės teritorijos bendrąjį planą</t>
  </si>
  <si>
    <t>Atliktas Bendrojo plano pakeitimas</t>
  </si>
  <si>
    <t>1.10.</t>
  </si>
  <si>
    <t>Parengtas Šiaulių miesto bendrojo plano koregavimas teritorijose tarp Trumpiškių, Bačiūnų, Pramonės g. ir želdynų ploto bei Šiaulių miesto administracinės ribos, Lingailių g., sklypo, kurio kadastro Nr. 2901/8001:0007, ir Bačiūnų g.</t>
  </si>
  <si>
    <t>1.01.</t>
  </si>
  <si>
    <t>01.01.01.02</t>
  </si>
  <si>
    <t>Organizuoti detaliųjų ir specialiųjų planų parengimą</t>
  </si>
  <si>
    <t>Parengtų detaliųjų ir specialiųjų planų</t>
  </si>
  <si>
    <t>Parengtas Teritorijos tarp Aušros al., Žemaitės, Dobilo ir Vaisių g. (Centrinio parko) Šiaulių mieste detaliojo plano keitimas</t>
  </si>
  <si>
    <t>Parengtas Prisikėlimo aikštės su prieigomis detaliojo plano keitimas</t>
  </si>
  <si>
    <t>Atliktas supaprastinta tvarka parengto detaliojo plano sklypo Marijampolės g.22 keitimas</t>
  </si>
  <si>
    <t>Atliktas žemės sklypo J. Žemaičio g. 3, Šiauliuose detaliojo plano keitimas</t>
  </si>
  <si>
    <t>Atliktas supaprastinta tvarka parengto žemės sklypo Pramonės g. 15, Šiauliuose detaliojo plano koregavimas</t>
  </si>
  <si>
    <t>Atliktas supaprastinta tvarka parengto detalaus plano teritorijos Architektų g.1, Šiauliuose  koregavimas</t>
  </si>
  <si>
    <t>Parengtas kvartalo, esančio tarp Perkūno, Sprudeikos g. ir Aukštabalio g. tęsinio, detalusis planas</t>
  </si>
  <si>
    <t>Parengtas Salduvės parko teritorijos Šiauliuose detalusis planas</t>
  </si>
  <si>
    <t>Įvykdytas supaprastinta tvarka parengto žemės sklypo Tilžės g. 74A, Šiauliuose, detaliojo plano koregavimas</t>
  </si>
  <si>
    <t>Parengtas Daušiškių kapinių detaliojo plano koregavimas</t>
  </si>
  <si>
    <t>01.01.01.03</t>
  </si>
  <si>
    <t>Įgyvendinti  žemės paėmimo visuomenės poreikiams procedūrą</t>
  </si>
  <si>
    <t>Įgyvendinta žemės paėmimo visuomenės poreikiams procedūra, paimtas žemės sklypas visuomenės poreikiams</t>
  </si>
  <si>
    <t>Parengta sąnaudų naudos analizė</t>
  </si>
  <si>
    <t>01.01.01.04</t>
  </si>
  <si>
    <t>Rengti žemėtvarkos planavimo dokumentus, žemės sklypų kadastrinius matavimus</t>
  </si>
  <si>
    <t>Parengta kadastrinių matavimų bylų, žemės sklypų pertvarkymo projektų</t>
  </si>
  <si>
    <t>01.01.02.</t>
  </si>
  <si>
    <t>Pagerinti miesto teigiamo architektūrinio ir vizualinio įvaizdžio kokybę</t>
  </si>
  <si>
    <t>01.01.02.01</t>
  </si>
  <si>
    <t>Formuoti miesto teigiamą architektūrinį ir vizualųjį įvaizdį</t>
  </si>
  <si>
    <t>Parengtų, įgyvendintų projektinių pasiūlymų, idėjos konkursų</t>
  </si>
  <si>
    <t>Įgyvendintas paminklo "Tautos laisvė" projektas</t>
  </si>
  <si>
    <t>Įgyvendintas Mozaikos „Šiauliai“, esančios adresu Tilžės g. 198, Šiauliuose, konservavimo, restauravimo ir atkūrimo darbų aprašymo programos – projekto parengimas ir darbų pagal programą – projektą vykdymas.</t>
  </si>
  <si>
    <t>01.01.02.02</t>
  </si>
  <si>
    <t>Organizuoti architektūriniu, urbanistiniu, valstybiniu ar viešojo intereso požiūriu reikšmingų objektų planavimo ar projektavimo architektūrinius konkursus</t>
  </si>
  <si>
    <t>Suorganizuota architektūrinių konkursų</t>
  </si>
  <si>
    <t>01.01.02.03</t>
  </si>
  <si>
    <t>Organizuoti projektinių darbų finansavimą</t>
  </si>
  <si>
    <t>Architektūros, urbanistikos ir paveldosaugos skyriaus parengtų techninių projektų</t>
  </si>
  <si>
    <t>Statybos ir renovacijos skyriaus parengtų techninių projektų</t>
  </si>
  <si>
    <t>Miesto ūkio ir aplinkos skyriaus parengtų techninių projektų</t>
  </si>
  <si>
    <t>01.01.03.</t>
  </si>
  <si>
    <t>Organizuoti kultūros paveldo apsaugą</t>
  </si>
  <si>
    <t>01.01.03.01</t>
  </si>
  <si>
    <t>Organizuoti kultūros paveldo tvarkybą</t>
  </si>
  <si>
    <t>Sutvarkyta kultūros paveldo objektų</t>
  </si>
  <si>
    <t>Įgyvendintas informacinių stovų (stendų) suprojektavimas, jų pagaminimas ir sumontavimas prie Šiaulių m. memorialinių objektų – neveikiančių kapinių</t>
  </si>
  <si>
    <t>Atlikti kitos paskirties inžinerinių statinių (atraminių sienelių) žemės sklype (kad. Nr. 2901/0015:143) Šiaulių mieste tvarkomieji statybos darbai</t>
  </si>
  <si>
    <t>Parengtas Šiaulių miesto savivaldybės pastato stogo dangos (likusios dalies) keitimo projektas</t>
  </si>
  <si>
    <t>01.01.03.02</t>
  </si>
  <si>
    <t>Plėtoti kultūros paveldo apskaitą</t>
  </si>
  <si>
    <t>Įgyvendinta kultūros paveldo apskaitos priemonių</t>
  </si>
  <si>
    <t>01.01.04.</t>
  </si>
  <si>
    <t>Kokybiškai administruoti Šiaulių m. erdvinių duomenų bazę</t>
  </si>
  <si>
    <t>01.01.04.01</t>
  </si>
  <si>
    <t>Organizuoti miesto erdvinių duomenų bazės techninę priežiūrą, programinės įrangos atnaujinimą</t>
  </si>
  <si>
    <t>Atnaujinta programinė įranga</t>
  </si>
  <si>
    <t>01.01.04.02</t>
  </si>
  <si>
    <t>Organizuoti Šiaulių miesto savivaldybės geodezijos ir kartografijos darbus</t>
  </si>
  <si>
    <t>Parengta topografinių planų</t>
  </si>
  <si>
    <t>02.</t>
  </si>
  <si>
    <t>Kultūros plėtros programa</t>
  </si>
  <si>
    <t>Kultūros skyrius</t>
  </si>
  <si>
    <t>02.01.</t>
  </si>
  <si>
    <t>Skatinti įvairių visuomenės grupių dalyvavimą kultūroje puoselėjant kultūros tradicijas ir  kultūrinės raiškos įvairovę bei gerinti kultūrinių paslaugų prieinamumą ir kokybę</t>
  </si>
  <si>
    <t>Gyventojų įsitraukimo į miesto kultūrinį gyvenimą augimas</t>
  </si>
  <si>
    <t>Kultūros paslaugų vartotojų skaičiaus augimas</t>
  </si>
  <si>
    <t>Atnaujintų kultūros įstaigų/objektų</t>
  </si>
  <si>
    <t>02.01.01.</t>
  </si>
  <si>
    <t>Užtikrinti miesto kultūrinio gyvenimo gyvybingumą, ugdyti ir skatinti miesto gyventojų ir jaunimo pilietinį aktyvumą bei tautinį sąmoningumą</t>
  </si>
  <si>
    <t>02.01.01.01</t>
  </si>
  <si>
    <t>Skatinti Šiaulių miesto kultūros ir meno įvairovę, sklaidą, prieinamumą</t>
  </si>
  <si>
    <t>Finansuotų kultūros projektų</t>
  </si>
  <si>
    <t>02.01.01.02</t>
  </si>
  <si>
    <t>Skatinti meno kūrėjus</t>
  </si>
  <si>
    <t>Įteiktų premijų ir stipendijų</t>
  </si>
  <si>
    <t>02.01.01.10</t>
  </si>
  <si>
    <t>Užtikrinti reprezentacinių Šiaulių miesto festivalių tęstinumą, jų ilgalaikiškumą, dalinį finansavimą, skatinti naujų idėjų, raiškos formų atsiradimą ir raidą</t>
  </si>
  <si>
    <t>Finansuotų festivalių</t>
  </si>
  <si>
    <t>02.01.01.11</t>
  </si>
  <si>
    <t>Koordinuoti valstybinių švenčių, atmintinų dienų paminėjimą, svarbių renginių, plenerų organizavimą, puoselėti tautines tradicijas</t>
  </si>
  <si>
    <t>Surengtų miesto, valstybinių, kalendorinių ir atmintinų dienų švenčių</t>
  </si>
  <si>
    <t>Įgyvendintų Tolygios kultūrinės raidos programos projektų, papildomų kultūros priemonių</t>
  </si>
  <si>
    <t>Atminimo ženklų sukūrimo ir gamybos paslaugų</t>
  </si>
  <si>
    <t>02.01.04.</t>
  </si>
  <si>
    <t>Užtikrinti kultūros paslaugų sklaidą ir prieinamumą gyventojams</t>
  </si>
  <si>
    <t>02.01.04.01</t>
  </si>
  <si>
    <t>Užtikrinti kultūros įstaigų veiklą</t>
  </si>
  <si>
    <t>Surengtų parodų</t>
  </si>
  <si>
    <t>2.03.</t>
  </si>
  <si>
    <t>Surengtų renginių</t>
  </si>
  <si>
    <t>Įgyvendintų projektų</t>
  </si>
  <si>
    <t>2.01.</t>
  </si>
  <si>
    <t>Šiaulių turizmo informacijos centro ir „Baltų kelio“ centro lankytojų</t>
  </si>
  <si>
    <t>1.05.</t>
  </si>
  <si>
    <t>Surengtų edukacijų</t>
  </si>
  <si>
    <t>1.09.</t>
  </si>
  <si>
    <t>Surengtų ekskursijų</t>
  </si>
  <si>
    <t>Lankytojų (renginių, parodų, projektų ir kt. lankytojų, žiūrovų, klausytojų, skaitytojų, paslaugų vartotojų ir pan.)</t>
  </si>
  <si>
    <t>2.02.</t>
  </si>
  <si>
    <t>Dalyvių (renginyje / parodoje / koncerte / projekte / festivalyje ir pan. dalyvavusių kūrėjų, atlikėjų, organizatorių, savanorių ir kt.)</t>
  </si>
  <si>
    <t>Edukacijų dalyvių</t>
  </si>
  <si>
    <t>Ekskursijų dalyvių</t>
  </si>
  <si>
    <t>02.01.04.09</t>
  </si>
  <si>
    <t>Atnaujinti (modernizuoti) Šiaulių miesto koncertinę įstaigą „Saulė" (Tilžės g. 140), rekonstruoti pastatą ir pastatyti priestatą</t>
  </si>
  <si>
    <t>Statybos ir renovacijos skyrius; Kultūros skyrius; Šiaulių miesto koncertinė įstaiga „Saulė“</t>
  </si>
  <si>
    <t>Atlikta planuotų darbų</t>
  </si>
  <si>
    <t>02.01.04.10</t>
  </si>
  <si>
    <t>Didinti Šiaulių miesto kultūros centro "Laiptų galerija" pastato (Žemaitės g. 83) funkcionalumą</t>
  </si>
  <si>
    <t>Kultūros skyrius; Statybos ir renovacijos skyrius</t>
  </si>
  <si>
    <t>02.01.04.11</t>
  </si>
  <si>
    <t>Atnaujinti (modernizuoti) Šiaulių dailės galerijos pastatą (Vilniaus g. 245)</t>
  </si>
  <si>
    <t>Šiaulių dailės galerija; Statybos ir renovacijos skyrius; Kultūros skyrius</t>
  </si>
  <si>
    <t>Pažangos_04</t>
  </si>
  <si>
    <t>Atlikta mobiliosios ir interaktyviosios erdvės įkūrimo darbų</t>
  </si>
  <si>
    <t>02.01.04.12</t>
  </si>
  <si>
    <t>Didinti Šiaulių kultūros centro Rėkyvos kultūros namų funkcionalumą</t>
  </si>
  <si>
    <t>Projektų valdymo skyrius; Statybos ir renovacijos skyrius; Kultūros skyrius</t>
  </si>
  <si>
    <t>Atlikta teritorijos sutvarkymo darbų</t>
  </si>
  <si>
    <t>Atlikta daugiafunkcės erdvės įkūrimo darbų</t>
  </si>
  <si>
    <t>1.02.</t>
  </si>
  <si>
    <t>Atlikta energinio efektyvumo didinimo rangos darbų</t>
  </si>
  <si>
    <t>02.01.04.16</t>
  </si>
  <si>
    <t>Didinti Šiaulių kultūros centro pastato (Aušros al. 31) funkcionalumą</t>
  </si>
  <si>
    <t>Šiaulių kultūros centras</t>
  </si>
  <si>
    <t>02.02.</t>
  </si>
  <si>
    <t>Stiprinti miesto įvaizdį plėtojant turizmo sektorių</t>
  </si>
  <si>
    <t>Turistų ir lankytojų skaičiaus Šiaulių mieste augimas</t>
  </si>
  <si>
    <t>Įvykdyta miesto įvaizdžio rinkodaros strategijos gairių priemonių</t>
  </si>
  <si>
    <t>Šiaulių m. delegacijos dalyvių skaičius Šimtmečio Lietuvos dainų šventėje</t>
  </si>
  <si>
    <t>žm.</t>
  </si>
  <si>
    <t>Regioninės dainų šventės „Teka saulelė“ dalyvių skaičius</t>
  </si>
  <si>
    <t>02.02.02.</t>
  </si>
  <si>
    <t>Vystyti Šiaulių miesto turizmo sektorių</t>
  </si>
  <si>
    <t>02.02.02.04</t>
  </si>
  <si>
    <t>Įgyvendinti miesto įvaizdžio rinkodaros strategijos gairių priemonių planą</t>
  </si>
  <si>
    <t>Šiaulių dailės galerija; Šiaulių kultūros centras; Šiaulių turizmo informacijos centras; Kultūros skyrius</t>
  </si>
  <si>
    <t>Įgyvendinta strategijos veiklų</t>
  </si>
  <si>
    <t>02.02.02.05</t>
  </si>
  <si>
    <t>Įgyvendinti projektą "Kultūros kelių tinklaveiką skatinant regioninę plėtrą"</t>
  </si>
  <si>
    <t>Įgyvendinta projekto veiklų</t>
  </si>
  <si>
    <t>02.02.02.06</t>
  </si>
  <si>
    <t>Įgyvendinti projektą "Viešojo sektoriaus specialistų gebėjimų stiprinimą, siekiant gerinti teikiamų paslaugų kokybę Šiaulių miesto savivaldybės ir Bauskės rajono savivaldybės turizmo institucijose"</t>
  </si>
  <si>
    <t>Šiaulių turizmo informacijos centras</t>
  </si>
  <si>
    <t>02.02.04.</t>
  </si>
  <si>
    <t>Vykdyti nekilnojamojo kultūros paveldo pažinimo sklaidą ir atgaivinimą</t>
  </si>
  <si>
    <t>02.02.04.02</t>
  </si>
  <si>
    <t>Organizuoti Europos paveldo dienų renginius</t>
  </si>
  <si>
    <t>Šiaulių turizmo informacijos centras; Kultūros skyrius</t>
  </si>
  <si>
    <t>Suorganizuotų Europos paveldo dienų renginių ciklų</t>
  </si>
  <si>
    <t>02.02.04.03</t>
  </si>
  <si>
    <t>Didinti religinio turizmo prieinamumą</t>
  </si>
  <si>
    <t>Įgyvendintų religinio turizmo skatinimo programų</t>
  </si>
  <si>
    <t>03.</t>
  </si>
  <si>
    <t>Aplinkos apsaugos programa</t>
  </si>
  <si>
    <t>Miesto ūkio ir aplinkos skyrius</t>
  </si>
  <si>
    <t>03.01.</t>
  </si>
  <si>
    <t>Pagerinti aplinkos kokybę mieste, kurti darnaus vystymosi principais pagrįstą sveiką ir švarią gyvenamąją aplinką mieste</t>
  </si>
  <si>
    <t>Sutvarkytas komunalinių atliekų kiekis</t>
  </si>
  <si>
    <t>t</t>
  </si>
  <si>
    <t>03.01.01.</t>
  </si>
  <si>
    <t>Plėtoti ir tobulinti miesto komunalinių atliekų tvarkymo sistemą</t>
  </si>
  <si>
    <t>03.01.01.01</t>
  </si>
  <si>
    <t>Įgyvendinti komunalinių atliekų tvarkymą</t>
  </si>
  <si>
    <t>VŠĮ Šiaulių regiono atliekų tvarkymo centras; Miesto ūkio ir aplinkos skyrius</t>
  </si>
  <si>
    <t>Pažangos_06</t>
  </si>
  <si>
    <t>Sutvarkyta komunalinių atliekų</t>
  </si>
  <si>
    <t>03.01.01.02</t>
  </si>
  <si>
    <t>Kompensuoti fiziniams asmenims asbesto turinčių gaminių atliekų šalinimą</t>
  </si>
  <si>
    <t>1.11.</t>
  </si>
  <si>
    <t>Kompensuota už asbesto gaminių šalinimą</t>
  </si>
  <si>
    <t>Surinkta asbesto</t>
  </si>
  <si>
    <t>03.01.01.03</t>
  </si>
  <si>
    <t>Įgyvendinti projektą „Komunalinių atliekų rūšiuojamojo surinkimo infrastruktūros plėtra Šiaulių regione"</t>
  </si>
  <si>
    <t>Miesto ūkio ir aplinkos skyrius; Projektų valdymo skyrius</t>
  </si>
  <si>
    <t>Baigta tvarkyti projekto dokumentacija ir finansiniai srautai</t>
  </si>
  <si>
    <t>Atlikti archeologiniai tyrimai</t>
  </si>
  <si>
    <t>03.01.01.04</t>
  </si>
  <si>
    <t>Įgyvendinti projektą  „Rūšiuojamuoju būdu surinktų maisto/virtuvės atliekų apdorojimo infrastruktūros sukūrimas Šiaulių regione"</t>
  </si>
  <si>
    <t>Įsigyta įranga</t>
  </si>
  <si>
    <t>kompl.</t>
  </si>
  <si>
    <t>Įrengta priėmimo / laikymo zona</t>
  </si>
  <si>
    <t>03.01.02.</t>
  </si>
  <si>
    <t>Įgyvendinti želdynų ir želdinių apsaugos bei tvarkymo priemones</t>
  </si>
  <si>
    <t>03.01.02.01</t>
  </si>
  <si>
    <t>Parengti ir įgyvendinti želdynų pertvarkymo projektus, inventorizuoti miesto želdynus</t>
  </si>
  <si>
    <t>1.12.</t>
  </si>
  <si>
    <t>Parengta želdynų inventorizacijos informacinė sistema</t>
  </si>
  <si>
    <t>Parengti želdynų projektai ir atlikti darbai</t>
  </si>
  <si>
    <t>03.01.02.03</t>
  </si>
  <si>
    <t>Vykdyti želdinių priežiūrą (tręšimas, genėjimas, kaštonų lapų tvarkymas) ir sodinti naujus želdinius prie miesto gatvių, parkuose ir skveruose</t>
  </si>
  <si>
    <t>Užtikrinta želdinių priežiūra (atžalų šalinimas, kelmų sutvarkymas, laistymas, tręšimas, kaštonų lapų surinkimas), pagal skirtą finansavimą</t>
  </si>
  <si>
    <t>Sunaikinta Sosnovskio barščių</t>
  </si>
  <si>
    <t>m2</t>
  </si>
  <si>
    <t>Pasodinta želdinių</t>
  </si>
  <si>
    <t>Vandens telkinių pakrančių valymas nuo perteklinių vandens augalų</t>
  </si>
  <si>
    <t>03.01.03.</t>
  </si>
  <si>
    <t>Įgyvendinti aplinkos monitoringo, prevencines, aplinkos kokybės gerinimo priemones</t>
  </si>
  <si>
    <t>03.01.03.04</t>
  </si>
  <si>
    <t>Vykdyti lietaus nuotekų sistemos griovių tvarkymą</t>
  </si>
  <si>
    <t>Sutvarkyta lietaus sistemos griovių</t>
  </si>
  <si>
    <t>Atlikta griovių inventorizacija, kadastriniai matavimai įregistravimas NTR</t>
  </si>
  <si>
    <t>Pralaidų išvalymas</t>
  </si>
  <si>
    <t>03.01.03.08</t>
  </si>
  <si>
    <t>Užtikrinti Šiaulių municipalinės aplinkos tyrimų laboratorijos veiklą</t>
  </si>
  <si>
    <t>Šiaulių municipalinė aplinkos tyrimų laboratorija; Miesto ūkio ir aplinkos skyrius</t>
  </si>
  <si>
    <t>Finansuota įstaiga (Šiaulių municipalinė aplinkos tyrimų laboratorija)</t>
  </si>
  <si>
    <t>Parengta stebėsenos ataskaita</t>
  </si>
  <si>
    <t>03.01.03.09</t>
  </si>
  <si>
    <t>Įgyvendinti aplinkos oro kokybės valdymo programos priemones, vykdyti aplinkos kokybės stebėseną</t>
  </si>
  <si>
    <t>Išvalyta pavasarinio purvo (dėl pakeltosios taršos  - gatvių sąšlavos)</t>
  </si>
  <si>
    <t>Mažos taršos zonos įvertinimo galimybių studijos parengimas</t>
  </si>
  <si>
    <t>Žvyruotų gatvių apdorojimas dulkėtumą mažinančiomis medžiagomis</t>
  </si>
  <si>
    <t>m</t>
  </si>
  <si>
    <t>Parengta požeminio vandens ir dirvožemio ataskaita (bei atlikti tyrimai stebimose Šiaulių miesto vietose)</t>
  </si>
  <si>
    <t>03.01.03.11</t>
  </si>
  <si>
    <t>Likviduoti pavojingus radinius ir ekologinių avarijų padarinius</t>
  </si>
  <si>
    <t>Miesto ūkio ir aplinkos skyrius; Civilinės saugos ir teisėtvarkos skyrius</t>
  </si>
  <si>
    <t>Likviduota radinių ir avarijų</t>
  </si>
  <si>
    <t>03.01.03.13</t>
  </si>
  <si>
    <t>Vykdyti gyvenamuosiuose rajonuose, viešosiose vietose šunų išvedžiojimo aikštelių, kačių šėrimo vietų ir kitos gyvūnų priežiūrai skirtos įrangos įrengimą, remontą ir sanitarinę priežiūrą</t>
  </si>
  <si>
    <t>Suremontuotų ir prižiūrėtų šunų vedžiojimo ir kačių šėrimo aikštelių</t>
  </si>
  <si>
    <t>sk.</t>
  </si>
  <si>
    <t>03.01.07.</t>
  </si>
  <si>
    <t>Vykdyti visuomenės švietimo ir mokymo aplinkosaugos klausimais priemones</t>
  </si>
  <si>
    <t>03.01.07.02</t>
  </si>
  <si>
    <t>Remti nevyriausybinių organizacijų aplinkosauginio švietimo projektų įgyvendinimą</t>
  </si>
  <si>
    <t>Paremta projektų</t>
  </si>
  <si>
    <t>03.01.07.03</t>
  </si>
  <si>
    <t>Organizuoti aplinkosauginius renginius, vykdyti visuomenės švietimą ir informavimą, įsigyti aplinkosauginius informacinius ir kt. leidinius</t>
  </si>
  <si>
    <t>Įsigyta leidinių</t>
  </si>
  <si>
    <t>Organizuoti renginiai (Žemės diena, Europos judumo savaitė)</t>
  </si>
  <si>
    <t>Įgyvendinta visuomenės švietimo ir informavimo priemonių</t>
  </si>
  <si>
    <t>04.</t>
  </si>
  <si>
    <t>Miesto infrastruktūros objektų priežiūros, modernizavimo ir plėtros programa</t>
  </si>
  <si>
    <t>04.01.</t>
  </si>
  <si>
    <t>Modernizuoti miesto infrastruktūrą, užtikrinti  komunalinių paslaugų teikimą, infrastruktūros objektų  priežiūrą ir remontą</t>
  </si>
  <si>
    <t>Užtikrinti miesto priežiūrą, švarą, apšvietimą pagal skirtą finansavimą</t>
  </si>
  <si>
    <t>04.01.01.</t>
  </si>
  <si>
    <t xml:space="preserve">Vykdyti miesto infrastruktūros objektų priežiūrą, einamąjį remontą </t>
  </si>
  <si>
    <t>04.01.01.01</t>
  </si>
  <si>
    <t>Tvarkyti aplinką ir vykdyti infrastruktūros objektų priežiūrą ir remontą</t>
  </si>
  <si>
    <t>Miesto ūkio ir aplinkos skyrius; Medelyno seniūnija; Rėkyvos seniūnija</t>
  </si>
  <si>
    <t>Sutvarkyta aplinka (žaliųjų plotų, gėlynų, medžių kirtimas, benamių gyvūnų priežiūra, kapinių priežiūra); užtikrinta gatvių apšvietimo ir reguliavimo, sanitarinių paslaugų, gatvių, šaligatvių, aikštelių, vaikų žaidimo aikštelių, takų priežiūros ir remonto paslaugos</t>
  </si>
  <si>
    <t>Užtikrinta miesto komunalinio ūkio priežiūra: žvyruotų gatvių greideriavimas; kelių dangos ženklinimas; eismo reguliavimo, saugių eismo priemonių diegimas, kryptinio apšvietimo įrengimas</t>
  </si>
  <si>
    <t>Įrengtų miesto autobusų stoginių</t>
  </si>
  <si>
    <t>1.06.</t>
  </si>
  <si>
    <t>04.01.01.02</t>
  </si>
  <si>
    <t>Rekonstruoti Tilžės g. viaduką per geležinkelį</t>
  </si>
  <si>
    <t>Atlikta Tilžės g. viaduko rekonstravimo darbų</t>
  </si>
  <si>
    <t>04.01.01.05</t>
  </si>
  <si>
    <t>Remontuoti daugiabučių namų kiemų dangą</t>
  </si>
  <si>
    <t>Sutvarkyta, suremontuota danga daugiabučių namų kiemuose</t>
  </si>
  <si>
    <t>04.01.02.</t>
  </si>
  <si>
    <t>Vykdyti Šiaulių miesto kapinių infrastruktūros plėtrą</t>
  </si>
  <si>
    <t>04.01.02.02</t>
  </si>
  <si>
    <t>Vykdyti kapinių teritorijoje esančios infrastruktūros tvarkymą ir priežiūrą</t>
  </si>
  <si>
    <t>Užtikrinta visų miesto kapinių priežiūra (administravimas, vandens vežimas, atliekų išvežimas ir kt.)</t>
  </si>
  <si>
    <t>Atlikta Donelaičio kapinių centrinio kelio remonto darbų</t>
  </si>
  <si>
    <t>04.01.02.03</t>
  </si>
  <si>
    <t>Vykdyti kolumbariumo statybą ir priežiūrą</t>
  </si>
  <si>
    <t>Statybos ir renovacijos skyrius; Miesto ūkio ir aplinkos skyrius</t>
  </si>
  <si>
    <t>Įgyvendinta kolumbariumo Donelaičio kapinėse statyba</t>
  </si>
  <si>
    <t>Užtikrinta Kolumbariumo priežiūra (kolumbariumo ir takų valymas)</t>
  </si>
  <si>
    <t>04.01.02.05</t>
  </si>
  <si>
    <t>„Įgyvendinti projektą „Šiaulių miesto kapinių valdymo informacinės sistemos sukūrimas, įdiegimas, kapinių duomenų skaitmenizavimas“</t>
  </si>
  <si>
    <t>Miesto ūkio ir aplinkos skyrius; Bendrųjų reikalų skyrius; Projektų valdymo skyrius</t>
  </si>
  <si>
    <t>Patobulinta leidimo laidoti išdavimo paslauga</t>
  </si>
  <si>
    <t>04.01.04.</t>
  </si>
  <si>
    <t>Sutvarkyti viešąsias erdves</t>
  </si>
  <si>
    <t>04.01.04.05</t>
  </si>
  <si>
    <t>Įgyvendinti projektą „Vilniaus gatvės pėsčiųjų bulvaro ir amfiteatro rekonstrukcija“</t>
  </si>
  <si>
    <t>Architektūros, urbanistikos ir paveldosaugos skyrius; Projektų valdymo skyrius</t>
  </si>
  <si>
    <t>04.01.04.07</t>
  </si>
  <si>
    <t>Įgyvendinti projektą „Viešųjų erdvių ir gyvenamosios aplinkos gerinimas teritorijoje, besiribojančioje su Draugystės prospektu, Vytauto gatve, P. Višinskio gatve ir Dubijos gatve"</t>
  </si>
  <si>
    <t>Projektų valdymo skyrius; Architektūros, urbanistikos ir paveldosaugos skyrius; Miesto ūkio ir aplinkos skyrius</t>
  </si>
  <si>
    <t>04.01.04.08</t>
  </si>
  <si>
    <t>Įgyvendinti projektą „P. Višinskio gatvės viešųjų erdvių pritaikymas jaunimo poreikiams“</t>
  </si>
  <si>
    <t>04.01.04.10</t>
  </si>
  <si>
    <t>Įgyvendinti projektą „Aušros alėjos (nuo Žemaitės g. iki Varpo g.) viešųjų pastatų ir viešųjų erdvių prieigų rekonstrukcija"</t>
  </si>
  <si>
    <t>04.01.04.12</t>
  </si>
  <si>
    <t>Vykdyti vaizdo stebėjimo kamerų sistemos plėtrą</t>
  </si>
  <si>
    <t>Miesto koordinavimo skyrius</t>
  </si>
  <si>
    <t>Pažangos_10</t>
  </si>
  <si>
    <t>Viešųjų vietų vaizdo stebėjimo kamerų, kurioms užtikrinamas funkcionalumo tęstinumas</t>
  </si>
  <si>
    <t>Įrengtų greičio matuoklių</t>
  </si>
  <si>
    <t>Pajungtų vaizdo stebėjimo kamerų</t>
  </si>
  <si>
    <t>Greičio matuoklio ir jo pakaitinių vietų, kurioms užtikrinamas funkcionalumas</t>
  </si>
  <si>
    <t>04.01.04.15</t>
  </si>
  <si>
    <t>Įgyvendinti projektą „Lieporių parko atgaivinimas ir pritaikymas bendruomenės poreikiams“</t>
  </si>
  <si>
    <t>Architektūros, urbanistikos ir paveldosaugos skyrius; Projektų valdymo skyrius; Miesto ūkio ir aplinkos skyrius</t>
  </si>
  <si>
    <t>Pažangos_07</t>
  </si>
  <si>
    <t>Atlikta paviršinio vandens surinkimo ir drenažo įrengimo darbų</t>
  </si>
  <si>
    <t>Atlikta kompleksinio parko sutvarkymo rangos darbų</t>
  </si>
  <si>
    <t>1.08.</t>
  </si>
  <si>
    <t>04.01.04.16</t>
  </si>
  <si>
    <t>Įgyvendinti projektą „Tankiai apgyvendintos Šiaulių miesto urbanizuotos teritorijos atgaivinimas, žalinimas ir funkcionalumo didinimas: kvartalo, kurį riboja Rasos g. ir Aukštabalio g. konversija ir pritaikymas bendruomenės poreikiams“</t>
  </si>
  <si>
    <t>Atlikta rangos darbų</t>
  </si>
  <si>
    <t>04.02.</t>
  </si>
  <si>
    <t>Užtikrinti subalansuotą miesto susisiekimo sistemos vystymą</t>
  </si>
  <si>
    <t>Vykdyti miesto susisiekimo sistemos plėtrą</t>
  </si>
  <si>
    <t>km</t>
  </si>
  <si>
    <t>04.02.01.</t>
  </si>
  <si>
    <t>Tobulinti miesto vidaus susisiekimo sistemą</t>
  </si>
  <si>
    <t>04.02.01.01</t>
  </si>
  <si>
    <t>Vykdyti naujų magistralinių gatvių suprojektavimo ir nutiesimo, susisiekimo komunikacijų įrengimo, rekonstravimo ir remonto darbus</t>
  </si>
  <si>
    <t>Atliktas išlyginamojo asfalto sluoksnio dengimas</t>
  </si>
  <si>
    <t>Atlikta miesto gatvių, šaligatvių ir takų remonto darbų pagal skirtą finansavimą</t>
  </si>
  <si>
    <t>04.02.01.06</t>
  </si>
  <si>
    <t>Įrengti viešojo susisiekimo infrastruktūrą, siekiant pagerinti sąlygas verslo plėtrai</t>
  </si>
  <si>
    <t>Projektų valdymo skyrius; Miesto ūkio ir aplinkos skyrius</t>
  </si>
  <si>
    <t>04.02.01.11</t>
  </si>
  <si>
    <t>Įgyvendinti projektą „Eismo saugumo priemonių įdiegimas Šiaulių mieste“</t>
  </si>
  <si>
    <t>Įdiegtos saugų eismą gerinančios priemonės</t>
  </si>
  <si>
    <t>04.02.01.14</t>
  </si>
  <si>
    <t>Įgyvendinti projektą „Darnaus judumo priemonių diegimas Šiaulių mieste“</t>
  </si>
  <si>
    <t>Įrengta ir rekonstruota dviračių bei pėsčiųjų ir dviračių takų, dviračių eismo juostų</t>
  </si>
  <si>
    <t>04.02.01.15</t>
  </si>
  <si>
    <t>Įgyvendinti projektą „Pakruojo gatvės rekonstrukcija“</t>
  </si>
  <si>
    <t>04.02.01.19</t>
  </si>
  <si>
    <t>Vykdyti keleivių vežimą vietinio (miesto) reguliaraus susisiekimo autobusų maršrutais</t>
  </si>
  <si>
    <t>Apmokėta už miesto keleivių vežimo vietiniais maršrutais (Nr. 2,8,14,20,24) paslaugas pagal kilometražą</t>
  </si>
  <si>
    <t>04.02.02.</t>
  </si>
  <si>
    <t>Vykdyti Savivaldybės infrastruktūros plėtrą</t>
  </si>
  <si>
    <t>04.02.02.01</t>
  </si>
  <si>
    <t>Suprojektuoti, nutiesti, išasfaltuoti ar rekonstruoti žvyruotas gatves</t>
  </si>
  <si>
    <t>Išasfaltuotos ir įrengtos žvyruotos gatvės</t>
  </si>
  <si>
    <t>Išasfaltuota žvyruotų gatvių</t>
  </si>
  <si>
    <t>04.02.02.02</t>
  </si>
  <si>
    <t>Įgyvendinti Savivaldybės infrastruktūros plėtros rėmimo programą</t>
  </si>
  <si>
    <t>Sukurta infrastruktūros objektų (pasirašyta savivaldybės infrastruktūros plėtros sutarčių)</t>
  </si>
  <si>
    <t>05.</t>
  </si>
  <si>
    <t>Miesto ekonominės plėtros programa</t>
  </si>
  <si>
    <t>Ekonomikos ir investicijų skyrius</t>
  </si>
  <si>
    <t>05.01.</t>
  </si>
  <si>
    <t>Skatinti miesto ekonominę plėtrą sudarant palankias sąlygas verslo vystymuisi</t>
  </si>
  <si>
    <t>Užimtų gyventojų skaičiaus augimas</t>
  </si>
  <si>
    <t>Įsteigtų įmonių</t>
  </si>
  <si>
    <t>Materialinių investicijų augimas</t>
  </si>
  <si>
    <t>Tiesioginių užsienio investicijų (TUI) augimas</t>
  </si>
  <si>
    <t>05.01.02.</t>
  </si>
  <si>
    <t>Skatinti ir ugdyti verslumą</t>
  </si>
  <si>
    <t>05.01.02.01</t>
  </si>
  <si>
    <t>Skatinti smulkiojo ir vidutinio verslo subjektus</t>
  </si>
  <si>
    <t>Įgyvendintų skatinimo priemonių</t>
  </si>
  <si>
    <t>05.01.02.02</t>
  </si>
  <si>
    <t>Įgyvendinti verslo subjektų mokymo programas</t>
  </si>
  <si>
    <t>Surengtų mokymų</t>
  </si>
  <si>
    <t>Verslo sklaidos renginių</t>
  </si>
  <si>
    <t>Suteiktos konsultacijos</t>
  </si>
  <si>
    <t>val.</t>
  </si>
  <si>
    <t>05.01.02.03</t>
  </si>
  <si>
    <t>Įgyvendinti jaunimo verslumo skatinimo programą</t>
  </si>
  <si>
    <t>Konsultuotų asmenų</t>
  </si>
  <si>
    <t>Verslumo mokymo ir verslo informacinės sklaidos renginių</t>
  </si>
  <si>
    <t>05.01.02.04</t>
  </si>
  <si>
    <t>Įgyvendinti inkubavimo, konsultavimo, mentorystės ir tinklaveikos programų vystymą, skatinant pradedančiųjų smulkiojo ir vidutinio verslo subjektų kūrimąsi ir augimą</t>
  </si>
  <si>
    <t>Smulkiojo ir vidutinio verslo subjektų dalyvavusių projekte skaičius</t>
  </si>
  <si>
    <t>05.01.05.</t>
  </si>
  <si>
    <t>Skatinti investicijų pritraukimą</t>
  </si>
  <si>
    <t>05.01.05.01</t>
  </si>
  <si>
    <t>Parengti (atnaujinti) investicijų projektus</t>
  </si>
  <si>
    <t>Projektų valdymo skyrius; Statybos ir renovacijos skyrius</t>
  </si>
  <si>
    <t>Parengtų, atnaujintų investicijų projektų ir/ar kitų reikiamų dokumentų lėšų pritraukimui</t>
  </si>
  <si>
    <t>05.01.05.02</t>
  </si>
  <si>
    <t>Vystyti Šiaulių pramoninio  parko (ŠPP) ir Šiaulių laisvosios ekonominės zonos (Šiaulių LEZ) infrastruktūrą</t>
  </si>
  <si>
    <t>Ekonomikos ir investicijų skyrius; Miesto ūkio ir aplinkos skyrius; Projektų valdymo skyrius</t>
  </si>
  <si>
    <t>Išvalytų sklypų skaičius</t>
  </si>
  <si>
    <t>Įdiegtos geležinkelio saugumo priemonės</t>
  </si>
  <si>
    <t>Įsigyta krovos aikštelių veiklai reikalinga įranga</t>
  </si>
  <si>
    <t>Įrengtas lietaus nuotekų nuvedimas į magistralinius tinklus</t>
  </si>
  <si>
    <t>Zoknių 110/10 KV transformatoriaus punkto plėtra</t>
  </si>
  <si>
    <t>05.01.05.03</t>
  </si>
  <si>
    <t>Vystyti Šiaulių Oro uosto veiklą</t>
  </si>
  <si>
    <t>Ekonomikos ir investicijų skyrius; SĮ Šiaulių oro uostas</t>
  </si>
  <si>
    <t>Įvykdyti specialieji aviacijos saugumo užtikrinimo įsipareigojimai</t>
  </si>
  <si>
    <t>Įsigyta techninė įranga</t>
  </si>
  <si>
    <t>05.01.05.04</t>
  </si>
  <si>
    <t>Įrengti ekonominės veiklos centro infrastruktūrą</t>
  </si>
  <si>
    <t>Ekonomikos ir investicijų skyrius; Statybos ir renovacijos skyrius</t>
  </si>
  <si>
    <t>Atlikti angarų griovimo darbai</t>
  </si>
  <si>
    <t>Parengtas Oro uosto terminalo techninis projektas</t>
  </si>
  <si>
    <t>Atlikti Oro uosto terminalo statybos darbai</t>
  </si>
  <si>
    <t>Atlikti Oro uosto terminalo automobilių aikštelės įrengimo darbai</t>
  </si>
  <si>
    <t>05.01.05.05</t>
  </si>
  <si>
    <t>Viešinti investicinę aplinką</t>
  </si>
  <si>
    <t>Suorganizuota renginių</t>
  </si>
  <si>
    <t>Dalyvauta parodose</t>
  </si>
  <si>
    <t>Publikuotų straipsnių Lietuvos ir užsienio spaudoje</t>
  </si>
  <si>
    <t>Sukurtų edukacinių rinkodaros priemonių</t>
  </si>
  <si>
    <t>Įgyvendinta reklaminė kampanija "Šiauliai - karjeros miestas"</t>
  </si>
  <si>
    <t>Parengti miesto istorijų, interviu ciklai</t>
  </si>
  <si>
    <t>Asociacijų, kurių narė yra savivaldybė skaičius</t>
  </si>
  <si>
    <t>Įgyvendinta reklaminė kampanija jauniems specialistams „Rinkis Šiaulius!“</t>
  </si>
  <si>
    <t>Atlikta Šiaulių miesto gyventojų, verslininkų, asocijuotų verslo struktūrų, turistų ir kt. apklausa</t>
  </si>
  <si>
    <t>05.01.05.06</t>
  </si>
  <si>
    <t>Pritraukti aukštos kvalifikacijos specialistus į Šiaulių miestą</t>
  </si>
  <si>
    <t>Atvykę dirbti aukštos kvalifikacijos specialistai, kurie gavo vienkartines išmokas</t>
  </si>
  <si>
    <t>06.</t>
  </si>
  <si>
    <t>Turto valdymo ir privatizavimo programa</t>
  </si>
  <si>
    <t>Turto valdymo skyrius</t>
  </si>
  <si>
    <t>06.01.</t>
  </si>
  <si>
    <t>Užtikrinti Savivaldybei nuosavybės teise priklausančio turto efektyvų panaudojimą</t>
  </si>
  <si>
    <t>Teisiškai sutvarkytų ir  įregistruotų  nekilnojamojo turto sk.  nuo viso turimo turto, proc.</t>
  </si>
  <si>
    <t>06.01.01.</t>
  </si>
  <si>
    <t>Užtikrinti Savivaldybei nuosavybės teise priklausančio turto įregistravimą viešuosiuose registruose</t>
  </si>
  <si>
    <t>06.01.01.01</t>
  </si>
  <si>
    <t>Apmokėti pastatų, patalpų ir inžinerinių statinių vertinimo, kadastrinių matavimų atlikimo, teisines registracijos išlaidas</t>
  </si>
  <si>
    <t>Nekilnojamojo turto registre teisiškai įregistruotas turtas</t>
  </si>
  <si>
    <t>06.01.01.03</t>
  </si>
  <si>
    <t>Padengti Privatizavimo programos vykdymo išlaidas</t>
  </si>
  <si>
    <t>Padengtos išlaidos</t>
  </si>
  <si>
    <t>06.01.01.06</t>
  </si>
  <si>
    <t>Apmokėti turto, kuris neturi savininko (ar savininkas nežinomas) laikinosios priežiūros ir laikinųjų apsaugos priemonių įrengimo arba griovimo išlaidas</t>
  </si>
  <si>
    <t>Statybos ir renovacijos skyrius; Turto valdymo skyrius</t>
  </si>
  <si>
    <t>Prižiūrimų ir nugriautų objektų</t>
  </si>
  <si>
    <t>06.01.02.</t>
  </si>
  <si>
    <t>Tinkamai eksploatuoti, renovuoti, remontuoti ir  saugoti Savivaldybei nuosavybės teise priklausantį turtą</t>
  </si>
  <si>
    <t>06.01.02.03</t>
  </si>
  <si>
    <t>Apmokėti Savivaldybei nuosavybės teise priklausančių pastatų, patalpų ir inžinerinių statinių  draudimo, apsaugos, remonto, komunalines ir kitas išlaidas</t>
  </si>
  <si>
    <t>Projektų valdymo skyrius; Turto valdymo skyrius</t>
  </si>
  <si>
    <t>Apmokėtos eksploatavimo išlaidos</t>
  </si>
  <si>
    <t>Apdraustų objektų</t>
  </si>
  <si>
    <t>06.01.02.12</t>
  </si>
  <si>
    <t>Apmokėti Savivaldybei nuosavybės teise priklausančio nekilnojamojo turto renovacijos išlaidas</t>
  </si>
  <si>
    <t>Apmokėtos renovacijos išlaidos</t>
  </si>
  <si>
    <t>06.01.02.14</t>
  </si>
  <si>
    <t>Užtikrinti skolų išieškojimą ir skolininkų iškeldinimą iš Savivaldybei nuosavybės teise priklausančių būstų</t>
  </si>
  <si>
    <t>Įvykdytų teismų sprendimų</t>
  </si>
  <si>
    <t>06.01.02.16</t>
  </si>
  <si>
    <t>Apmokėti Savivaldybei nuosavybės teise priklausančių būstų eksploatavimo, administravimo, kaupimo, nuomos mokesčio surinkimo, komunalinių mokesčių, remonto išlaidas</t>
  </si>
  <si>
    <t>Apmokėtos išlaidos</t>
  </si>
  <si>
    <t>06.01.02.17</t>
  </si>
  <si>
    <t>Kompensuoti daugiabučių namų savininkų bendrijų steigimo išlaidas</t>
  </si>
  <si>
    <t>Padengtos steigimo išlaidos</t>
  </si>
  <si>
    <t>06.01.03.</t>
  </si>
  <si>
    <t>Sudaryti sąlygas įsigyti būstą pažeidžiamiausioms gyventojų grupėms</t>
  </si>
  <si>
    <t>06.01.03.05</t>
  </si>
  <si>
    <t>Didinti Savivaldybės būsto fondą</t>
  </si>
  <si>
    <t>Nupirktų būstų</t>
  </si>
  <si>
    <t>06.01.03.06</t>
  </si>
  <si>
    <t>Įgyvendinti projektą „Socialinio būsto fondo plėtra Šiaulių miesto savivaldybėje"</t>
  </si>
  <si>
    <t>Turto valdymo skyrius; Projektų valdymo skyrius</t>
  </si>
  <si>
    <t>Baigta tvarkyti projekto I etapo dokumentacija ir finansiniai srautai</t>
  </si>
  <si>
    <t>06.01.03.07</t>
  </si>
  <si>
    <t>Kompensuoti būsto nuomos ar išperkamosios būsto nuomos mokesčių dalį</t>
  </si>
  <si>
    <t>1.04.</t>
  </si>
  <si>
    <t>06.01.03.09</t>
  </si>
  <si>
    <t>Kompensuoti jaunoms šeimoms dalį išlaidų įsigyjant pirmą būstą</t>
  </si>
  <si>
    <t>Šeimų gavusių kompensacijas</t>
  </si>
  <si>
    <t>07.</t>
  </si>
  <si>
    <t>Sporto plėtros programa</t>
  </si>
  <si>
    <t>Sporto skyrius</t>
  </si>
  <si>
    <t>07.01.</t>
  </si>
  <si>
    <t>Sudaryti sąlygas ugdyti sveiką ir fiziškai aktyvią miesto bendruomenę bei plėtoti aukšto meistriškumo sportininkų rengimo sistemą</t>
  </si>
  <si>
    <t>Sporto organizacijų Šiaulių mieste</t>
  </si>
  <si>
    <t>Prižiūrimų sporto bazių</t>
  </si>
  <si>
    <t>07.01.01.</t>
  </si>
  <si>
    <t>Plėtoti aukšto meistriškumo sportininkų rengimo sistemą</t>
  </si>
  <si>
    <t>07.01.01.02</t>
  </si>
  <si>
    <t>Vykdyti miesto, apskrities, šalies ir tarptautinius sporto renginius bei pasirengti ir dalyvauti šalies ir tarptautinėms varžyboms (Baltijos, Europos ir pasaulio čempionato varžyboms, kompleksiniams renginiams ir kt.)</t>
  </si>
  <si>
    <t>Šalies sporto šakų čempionatuose, taurės varžybose (suaugusiųjų amžiaus grupėje) laimėta 1–3 vietų</t>
  </si>
  <si>
    <t>Šalies sporto šakų čempionatuose, taurės varžybose (jaunučių, jaunių, jaunimo amžiaus grupėse) laimėta 1–3 vietų</t>
  </si>
  <si>
    <t>Europos čempionate iškovotų 1–6 vietų ir pasaulio čempionate, taurės varžybose (suaugusiųjų amžiaus grupėje) iškovotų 1–10 vietų</t>
  </si>
  <si>
    <t>Europos čempionate iškovotų 1–6 vietų ir pasaulio čempionate, taurės varžybose (jaunučių, jaunių, jaunimo amžiaus grupėse) iškovotų 1–10 vietų</t>
  </si>
  <si>
    <t>Olimpinės ir paralimpinės rinktinės kandidatų bei perspektyvinės pamainos sportininkų</t>
  </si>
  <si>
    <t>Rinktinės narių (suaugusiųjų amžiaus grupėje)</t>
  </si>
  <si>
    <t>Rinktinės narių (jaunučių, jaunių, jaunimo amžiaus grupėse)</t>
  </si>
  <si>
    <t>Surengtų sporto renginių</t>
  </si>
  <si>
    <t>07.01.01.06</t>
  </si>
  <si>
    <t>Pasirengti ir dalyvauti Lietuvos čempionato ir sporto šakų federacijų taurės, Baltijos lygos ir taurės laimėtojų, Europos taurės ir kitose oficialiose varžybose (žaidimų komandų jaunimo ir suaugusiųjų amžiaus grupė)</t>
  </si>
  <si>
    <t>Komandų, dalyvaujančių šalies varžybose</t>
  </si>
  <si>
    <t>Lietuvos čempionato varžybose laimėta 1–3 vietų</t>
  </si>
  <si>
    <t>Komandų, dalyvaujančių tarptautinėse varžybose</t>
  </si>
  <si>
    <t>Tarptautinėse varžybose laimėta 1–3 vietų</t>
  </si>
  <si>
    <t>Rinktinės narių</t>
  </si>
  <si>
    <t>07.01.01.08</t>
  </si>
  <si>
    <t>Įgyvendinti Šiaulių miesto reprezentacinių renginių programą</t>
  </si>
  <si>
    <t>Sporto skyrius; Šiaulių miesto sporto organizacijos</t>
  </si>
  <si>
    <t>Surengtų miestą reprezentuojančių sporto renginių</t>
  </si>
  <si>
    <t>Surengtų sporto renginių dalyvių</t>
  </si>
  <si>
    <t>07.01.01.09</t>
  </si>
  <si>
    <t>Skatinti sportininkus ir trenerius laimėjusius aukštas vietas tarptautinės varžybose</t>
  </si>
  <si>
    <t>Paskatinta aukšto meistriškumo sportininkų</t>
  </si>
  <si>
    <t>Premijų (stipendijų), skirtų sportininkams</t>
  </si>
  <si>
    <t>Paskatinta aukšto meistriškumo sportininkų trenerių</t>
  </si>
  <si>
    <t>07.01.01.10</t>
  </si>
  <si>
    <t>Plėtoti sportininkų rengimo centrų veiklą</t>
  </si>
  <si>
    <t>Sporto skyrius; Sportininkų rengimo centrai</t>
  </si>
  <si>
    <t>Komandų, dalyvaujančių LFF A, I ir II lygos varžybose</t>
  </si>
  <si>
    <t>Futbolo plėtros programoje rengiamų sportininkų</t>
  </si>
  <si>
    <t>Komandų, dalyvaujančių Regiono lygos varžybose</t>
  </si>
  <si>
    <t>Krepšinio plėtros programoje rengiamų sportininkų</t>
  </si>
  <si>
    <t>07.01.01.11</t>
  </si>
  <si>
    <t>Plėtoti sporto įstaigų veiklą</t>
  </si>
  <si>
    <t>Sporto įstaigose rengiamų sportininkų</t>
  </si>
  <si>
    <t>07.01.01.12</t>
  </si>
  <si>
    <t>Kompensuoti tėvų atlyginimą už teikiamas sportinio rengimo paslaugas sporto įstaigose ir sportininkų rengimo centruose</t>
  </si>
  <si>
    <t>Atlyginimo lengvatą už teikiamas sportinio rengimo paslaugas gaunančių asmenų</t>
  </si>
  <si>
    <t>07.01.06.</t>
  </si>
  <si>
    <t>Modernizuoti ir sukurti sporto infrastruktūrą</t>
  </si>
  <si>
    <t>07.01.06.01</t>
  </si>
  <si>
    <t>Pastatyti sporto kompleksą (futbolo ir regbio maniežą)</t>
  </si>
  <si>
    <t>Sporto skyrius; Projektų valdymo skyrius; Architektūros, urbanistikos ir paveldosaugos skyrius; Statybos ir renovacijos skyrius</t>
  </si>
  <si>
    <t>Pažangos_02, Pažangos_03, Pažangos_04</t>
  </si>
  <si>
    <t>Atlikta darbų</t>
  </si>
  <si>
    <t>Įsigytas baldų ir kitas inventorius</t>
  </si>
  <si>
    <t>1.07.</t>
  </si>
  <si>
    <t>07.01.06.02</t>
  </si>
  <si>
    <t>Pastatyti irklavimo sporto bazę (Žvyro g. 34)</t>
  </si>
  <si>
    <t>Statybos ir renovacijos skyrius; Sporto skyrius</t>
  </si>
  <si>
    <t>Atlikta II etapo statybos darbų</t>
  </si>
  <si>
    <t>07.01.06.03</t>
  </si>
  <si>
    <t>Suprojektuoti ir pastatyti buriavimo elingą prie Rėkyvos ežero</t>
  </si>
  <si>
    <t>Architektūros, urbanistikos ir paveldosaugos skyrius; Statybos ir renovacijos skyrius; Sporto skyrius</t>
  </si>
  <si>
    <t>Parengtas techninis projektas</t>
  </si>
  <si>
    <t>07.01.06.06</t>
  </si>
  <si>
    <t>Suremontuoti Šiaulių m. stadioną ir pastatų patalpas (S. Daukanto g. 23)</t>
  </si>
  <si>
    <t>Atlikta laistymo sistemos įrengimo darbų</t>
  </si>
  <si>
    <t>Pakeista stadiono veja</t>
  </si>
  <si>
    <t>Pakeista E, F ir G tribūnų danga</t>
  </si>
  <si>
    <t>Atlikta apšvietimo sistemos modernizavimo darbų</t>
  </si>
  <si>
    <t>Parengtas administracinio pastato remonto darbų techninis projektas</t>
  </si>
  <si>
    <t>07.01.06.08</t>
  </si>
  <si>
    <t>Futbolo aikščių rekonstrukcija (Kviečių g. 7A ir Kviečių g. 9)</t>
  </si>
  <si>
    <t>07.01.06.09</t>
  </si>
  <si>
    <t>Didinti Šiaulių teniso akademijos pastato funkcionalumą</t>
  </si>
  <si>
    <t>Sporto skyrius; Šiaulių teniso akademija</t>
  </si>
  <si>
    <t>07.01.06.10</t>
  </si>
  <si>
    <t>Atlikti Šiaulių regbio ir žolės riedulio akademijos aikštyno rekonstrukciją</t>
  </si>
  <si>
    <t>Sporto skyrius; Šiaulių regbio ir žolės riedulio akademija</t>
  </si>
  <si>
    <t>07.01.07.</t>
  </si>
  <si>
    <t>Skatinti gyventojų fizinio aktyvumo veiklas</t>
  </si>
  <si>
    <t>07.01.07.01</t>
  </si>
  <si>
    <t>Sudaryti sąlygas didinti fizinio aktyvumo renginių bei veiklų prieinamumą ir aprėptį</t>
  </si>
  <si>
    <t>Vykdytose fizinio aktyvumo veiklose dalyvaujančių dalis nuo bendro Šiaulių miesto gyventojų skaičiaus</t>
  </si>
  <si>
    <t>Finansuotų neįgaliųjų sporto klubų</t>
  </si>
  <si>
    <t>07.01.07.02</t>
  </si>
  <si>
    <t>Mokyti vaikus plaukti ir saugiai elgtis vandenyje ir prie vandens</t>
  </si>
  <si>
    <t>Sporto skyrius; Šiaulių plaukimo centras ,,Delfinas"</t>
  </si>
  <si>
    <t>Išmokytų plaukti vaikų dalis nuo bendro 1–4 klasių mokinių skaičiaus Šiaulių miesto bendrojo ugdymo mokyklose</t>
  </si>
  <si>
    <t>08.</t>
  </si>
  <si>
    <t>Švietimo prieinamumo ir kokybės užtikrinimo programa</t>
  </si>
  <si>
    <t>Švietimo skyrius</t>
  </si>
  <si>
    <t>08.01.</t>
  </si>
  <si>
    <t>Plėtoti inovatyvią švietimo sistemą, ugdančią aktyvią ir kūrybingą asmenybę</t>
  </si>
  <si>
    <t>Sudarytos sąlygos kokybiškam ugdymo procesui</t>
  </si>
  <si>
    <t>Užtikrinta švietimo pagalba kiekvienam mokiniui</t>
  </si>
  <si>
    <t>08.01.01.</t>
  </si>
  <si>
    <t>Gerinti švietimo prieinamumą ir pristatyti švietimo veiklą</t>
  </si>
  <si>
    <t>08.01.01.01</t>
  </si>
  <si>
    <t>Atstovauti miestui, pristatyti švietimo veiklą, organizuoti renginius</t>
  </si>
  <si>
    <t>Tradicinių mokytojų ir mokinių renginių</t>
  </si>
  <si>
    <t>Apdovanotų olimpiadų nugalėtojų</t>
  </si>
  <si>
    <t>Įteikta premijų ,,Metų mokytojas“</t>
  </si>
  <si>
    <t>Vieną ir daugiau 100 balų įvertinimą gavusių mokinių</t>
  </si>
  <si>
    <t>Švietimo lyderystės ir pagalbos programų dalyvių</t>
  </si>
  <si>
    <t>Pirmoko krepšelį gavusių mokinių</t>
  </si>
  <si>
    <t>Neformaliojo švietimo mokyklų, kuriose atliktas išorės vertinimas</t>
  </si>
  <si>
    <t>Šiaulių miestą atstovavusių asmenų nuvežimas į respublikinius renginius</t>
  </si>
  <si>
    <t>08.01.01.02</t>
  </si>
  <si>
    <t>Užtikrinti skaitmeninę plėtrą bendrojo ugdymo mokyklose</t>
  </si>
  <si>
    <t>Sukurtos skaitmeninės mokymosi aplinkos, naudojamos skaitmeninės mokymo priemonės mokyklose</t>
  </si>
  <si>
    <t>08.01.01.03</t>
  </si>
  <si>
    <t>Užtikrinti švietimo elektroninės apskaitos ir registracijos sistemų funkcionavimą</t>
  </si>
  <si>
    <t>Veikianti priėmimo į bendrojo ugdymo mokyklas sistema</t>
  </si>
  <si>
    <t>Veikianti priėmimo į ikimokyklinio ugdymo įstaigas sistema</t>
  </si>
  <si>
    <t>Veikianti SKU modelio apskaitos sistema</t>
  </si>
  <si>
    <t>Veikianti elektroninio mokinio pažymėjimo sistema</t>
  </si>
  <si>
    <t>08.01.01.05</t>
  </si>
  <si>
    <t>Vykdyti Šiaulių miesto savivaldybės, jos teritorijoje veikiančių aukštųjų mokyklų, Šiaulių technologijų mokymo centro, verslo įmonių ir švietimo įstaigų bendradarbiavimo programas</t>
  </si>
  <si>
    <t>Pažangos_03</t>
  </si>
  <si>
    <t>STEAM ir STEAM JUNIOR programos grupių</t>
  </si>
  <si>
    <t>INOSTART programų</t>
  </si>
  <si>
    <t>Inžinerijos ir informatikos mokslų krypties studijų Šiaulių mieste parama kviestiniams dėstytojams, skatinamųjų stipendijų</t>
  </si>
  <si>
    <t>Pritaikytų erdvių integruotam gamtos mokslų ugdymui ir Šiaulių miesto bendruomenės švietimui programų</t>
  </si>
  <si>
    <t>Viešųjų ryšių akcijos „Šiauliai – sėkmingos karjeros miestas“ priemonių</t>
  </si>
  <si>
    <t>Studentų, kuriems skirta studijų parama</t>
  </si>
  <si>
    <t>STEAM renginių ir varžybų</t>
  </si>
  <si>
    <t>Dalyvavusių įgyvendintant ankstyvojo profesinio informavimo programą "OPA" pradinių klasių mokinių</t>
  </si>
  <si>
    <t>Dalyvavusių įgyvendinant technologijų pamokų programą ŠTMC mokinių</t>
  </si>
  <si>
    <t>Įgyvendintų aukštųjų mokyklų bendradarbiavimo programų</t>
  </si>
  <si>
    <t>08.01.01.06</t>
  </si>
  <si>
    <t>Vykdyti suaugusiųjų neformaliojo švietimo programas</t>
  </si>
  <si>
    <t>Įgyvendinamų programų</t>
  </si>
  <si>
    <t>08.01.01.07</t>
  </si>
  <si>
    <t>Užtikrinti Šiaulių miesto reprezentacinių renginių organizavimą</t>
  </si>
  <si>
    <t>Suorganizuotų reprezentacinių renginių</t>
  </si>
  <si>
    <t>08.01.03.</t>
  </si>
  <si>
    <t>Sudaryti sąlygas kokybiškam ugdymo procesui</t>
  </si>
  <si>
    <t>08.01.03.01</t>
  </si>
  <si>
    <t>Užtikrinti švietimo įstaigų veiklą (ML 98% + SB)</t>
  </si>
  <si>
    <t>Bendrojo ugdymo mokyklų</t>
  </si>
  <si>
    <t>Miesto bendrojo ugdymo mokyklose mokinių</t>
  </si>
  <si>
    <t>Veikiantis Švietimo centras</t>
  </si>
  <si>
    <t>1.03.</t>
  </si>
  <si>
    <t>Suformatuotų, atspausdintų ir išduotų naujų elektroninių mokinio pažymėjimų</t>
  </si>
  <si>
    <t>Tarnyba, teikianti pedagoginę psichologinę pagalbą vaikams ir mokiniams</t>
  </si>
  <si>
    <t>Įstaigų, kuriose įsteigti karjeros specialisto etatai</t>
  </si>
  <si>
    <t>Vidutiniškai vienam mokiniui tenkantis plotas</t>
  </si>
  <si>
    <t>Mokinių, dalyvaujančių ,,Kultūros krepšelio“ edukaciniuose užsiėmimuose Šiaulių regiono muziejuose ir kitose kultūros įstaigose</t>
  </si>
  <si>
    <t>08.01.03.02</t>
  </si>
  <si>
    <t>Tenkinti mokymo reikmes (ML  2% )</t>
  </si>
  <si>
    <t>Ikimokyklinio ir bendrojo ugdymo mokyklų, kuriose tenkinamos ugdymo reikmės</t>
  </si>
  <si>
    <t>Mokyklų, įdiegusių socialinių kompetencijų ugdymo modelį</t>
  </si>
  <si>
    <t>08.01.03.03</t>
  </si>
  <si>
    <t>Organizuoti mokinių vežimą</t>
  </si>
  <si>
    <t>Mokinių, kuriems kompensuojamas važiavimas į mokyklą</t>
  </si>
  <si>
    <t>08.01.03.04</t>
  </si>
  <si>
    <t>Užtikrinti viešųjų įstaigų, įgyvendinančių bendrąsias ir specialiąsias ugdymo programas bei nevalstybinių tradicinių religinių bendruomenių ir bendrijų mokyklų veiklą (ML 98 % + SB)</t>
  </si>
  <si>
    <t>VšĮ ugdymo įstaigų (,,Smalsieji pabiručiai“ ir Šiaulių jėzuitų mokykla)</t>
  </si>
  <si>
    <t>Nevalstybinių tradicinių religinių bendruomenių ir bendrijų mokyklų</t>
  </si>
  <si>
    <t>08.01.03.06</t>
  </si>
  <si>
    <t>Vykdyti neformaliojo vaikų švietimo programas</t>
  </si>
  <si>
    <t>Sporto skyrius; Švietimo skyrius</t>
  </si>
  <si>
    <t>Neformaliojo vaikų švietimo mokyklų</t>
  </si>
  <si>
    <t>Vaikų, lankančių neformaliojo vaikų švietimo mokyklas</t>
  </si>
  <si>
    <t>FŠPU dalyvaujančių 1-12 klasių mokinių</t>
  </si>
  <si>
    <t>08.01.03.07</t>
  </si>
  <si>
    <t>Užtikrinti neformaliojo vaikų švietimo teikėjų programų vykdymą (ŠMSM - 15 Eur/mėn.)</t>
  </si>
  <si>
    <t>Neformaliojo vaikų švietimo programų</t>
  </si>
  <si>
    <t>Neformaliojo vaikų švietimo teikėjų</t>
  </si>
  <si>
    <t>Nevalstybinių švietimo įstaigų ir laisvųjų mokytojų įgyvendinamų neformaliojo vaikų švietimo programas lankančių vaikų</t>
  </si>
  <si>
    <t>08.01.03.08</t>
  </si>
  <si>
    <t>Kompensuoti tėvų atlyginimą už neformalųjį vaikų švietimą savivaldybės įstaigose</t>
  </si>
  <si>
    <t>Atlyginimo lengvatą už neformalųjį vaikų švietimą  gaunančių vaikų</t>
  </si>
  <si>
    <t>08.01.03.09</t>
  </si>
  <si>
    <t>Užtikrinti ikimokyklinį ir priešmokyklinį ugdymą</t>
  </si>
  <si>
    <t>Ikimokyklinio ugdymo įstaigų</t>
  </si>
  <si>
    <t>Pagal ikimokyklinę programą ugdomų vaikų</t>
  </si>
  <si>
    <t>Mokyklų ikimokyklinio ugdymo skyrių</t>
  </si>
  <si>
    <t>08.01.03.10</t>
  </si>
  <si>
    <t>Kompensuoti tėvų atlyginimą už vaiko išlaikymą įstaigoje</t>
  </si>
  <si>
    <t>Ikimokyklinio ugdymo įstaigose lengvatas gaunančių vaikų</t>
  </si>
  <si>
    <t>08.01.03.11</t>
  </si>
  <si>
    <t>Užtikrinti ikimokyklinio ugdymo programų įgyvendinimą Šiaulių miesto nevalstybinėse švietimo įstaigose (70 Eur/mėn.)</t>
  </si>
  <si>
    <t>Nevalstybines švietimo įstaigas, įgyvendinančias ikimokyklinio ugdymo programas, lankančių ugdytinių</t>
  </si>
  <si>
    <t>08.01.03.12</t>
  </si>
  <si>
    <t>Finansuoti ikimokyklinio ir priešmokyklinio ugdymo programas vykdančias viešąsias įstaigas</t>
  </si>
  <si>
    <t>Viešųjų įstaigų</t>
  </si>
  <si>
    <t>08.01.03.13</t>
  </si>
  <si>
    <t>Įgyvendinti vaikų ir jaunimo vasaros užimtumo programas</t>
  </si>
  <si>
    <t>Vasaros užimtumo programose dalyvaujančių vaikų</t>
  </si>
  <si>
    <t>08.01.03.14</t>
  </si>
  <si>
    <t>Švietimo pagalbos užtikrinimas švietimo įstaigose</t>
  </si>
  <si>
    <t>Specialiųjų ugdymosi poreikių turinčių mokinių, kuriems teikiama švietimo pagalba</t>
  </si>
  <si>
    <t>08.01.03.15</t>
  </si>
  <si>
    <t>Užtikrinti profesinio orientavimo paslaugų teikimą Šiaulių miesto bendrojo ugdymo mokyklose</t>
  </si>
  <si>
    <t>Mokyklų, kuriose dirba karjeros specialistai</t>
  </si>
  <si>
    <t>Karjeros specialistų etatų mokyklose</t>
  </si>
  <si>
    <t>08.01.03.16</t>
  </si>
  <si>
    <t>Aprūpinti Šiaulių miesto bendrojo ugdymo mokyklas mokymosi priemonėmis</t>
  </si>
  <si>
    <t>Mokyklų , kurioms skirtos lėšos priemonėms  įsigyti</t>
  </si>
  <si>
    <t>08.01.03.17</t>
  </si>
  <si>
    <t>„Įgyvendinti projektą „Atvirų klasių sukūrimas Šiaulių Vinco Kudirkos progimnazijoje“</t>
  </si>
  <si>
    <t xml:space="preserve">Švietimo skyrius; Projektų valdymo skyrius; Šiaulių Vinco Kudirkos progimnazija </t>
  </si>
  <si>
    <t>Mokytojai dirbantys su mokiniais turinčiais didelių specialių ugdymosi poreikių</t>
  </si>
  <si>
    <t>08.05.</t>
  </si>
  <si>
    <t>Gerinti ugdymo sąlygas ir aplinką</t>
  </si>
  <si>
    <t>Įstaigų objektų, kuriuose atnaujintos arba iš dalies atnaujintos aplinkos</t>
  </si>
  <si>
    <t>08.05.02.</t>
  </si>
  <si>
    <t>Atnaujinti ir modernizuoti švietimo įstaigų ugdymo aplinką</t>
  </si>
  <si>
    <t>08.05.02.08</t>
  </si>
  <si>
    <t>Įgyvendinti projektą „Šiaulių Sporto gimnazijos (Vilniaus g. 297) modernizavimas“</t>
  </si>
  <si>
    <t>Statybos ir renovacijos skyrius; Švietimo skyrius; Projektų valdymo skyrius</t>
  </si>
  <si>
    <t>Atlikta Sporto gimnazijos bendrabučio remonto darbų</t>
  </si>
  <si>
    <t>Atlikti I etapo (vidaus įrengimas) rangos darbus</t>
  </si>
  <si>
    <t>08.05.02.09</t>
  </si>
  <si>
    <t>Įgyvendinti projektą „Santarvės gimnazijos rekonstravimas“</t>
  </si>
  <si>
    <t>Statybos ir renovacijos skyrius; Švietimo skyrius</t>
  </si>
  <si>
    <t>Atlikta planuotų pastato remonto darbų</t>
  </si>
  <si>
    <t>08.05.02.16</t>
  </si>
  <si>
    <t>Rekonstruoti miesto gimnazijų ir mokyklų sporto aikštynus</t>
  </si>
  <si>
    <t>Atlikti Gytarių progimnazijos sporto aikštyno atnaujinimo rangos darbai</t>
  </si>
  <si>
    <t>Įrengta Sporto gimnazijos sporto aikštelė</t>
  </si>
  <si>
    <t>Atlikti St. Šalkauskio gimnazijos sporto aikštyno atnaujinimo rangos darbai</t>
  </si>
  <si>
    <t>08.05.02.17</t>
  </si>
  <si>
    <t>Renovuoti švietimo įstaigų baseinus</t>
  </si>
  <si>
    <t>Atliktų lopšelio-darželio "Žiogelis" baseino renovacijos darbų</t>
  </si>
  <si>
    <t>08.05.02.22</t>
  </si>
  <si>
    <t>Įgyvendinti projektą „Rėkyvos progimnazijos rekonstrukcija ir aplinkos gerinimas“</t>
  </si>
  <si>
    <t>Atliktos statybos darbų baigimo procedūros</t>
  </si>
  <si>
    <t>08.05.02.23</t>
  </si>
  <si>
    <t>Tvarkyti švietimo įstaigų teritorijų dangas ir įvažiavimus</t>
  </si>
  <si>
    <t>Miesto ūkio ir aplinkos skyrius; Švietimo skyrius</t>
  </si>
  <si>
    <t>Švietimo įstaigų, kuriose atnaujintos teritorijų dangos ir įvažiavimai (l/d „Pasaka“, Lieporių gimnazija, l/d „Dainelė“, "Bitė", "Sigutė", P. Avižonio ugd. centras, "Dermės" mokykla, "Santakos" ugd. centras, "Ringuvos" mokykla, ir kt.)</t>
  </si>
  <si>
    <t>08.05.02.24</t>
  </si>
  <si>
    <t>Atnaujinti švietimo įstaigų teritorijų lauko įrenginius ir aptvėrimą</t>
  </si>
  <si>
    <t>Švietimo įstaigų, kuriose atnaujinti lauko įrenginiai ir aptvertos teritorijos (Gegužių, Rėkyvos, "Juventos" progimnazijos ir kt.)</t>
  </si>
  <si>
    <t>Švietimo įstaigų, kuriose atnaujintas lauko apšvietimas (Dailės mokykla, Dainų muzikos mokykla ir kt.)</t>
  </si>
  <si>
    <t>08.05.02.31</t>
  </si>
  <si>
    <t>Atnaujinti švietimo įstaigų pastatus, patalpas, įrangą ir komunikacijas</t>
  </si>
  <si>
    <t>Švietimo įstaigų, atnaujinusių  virtuves ir įrangą (L-d "Voveraitė", Saulės pradinė mokykla ir  kt.)</t>
  </si>
  <si>
    <t>Įstaigų, kurių pastatams apšiltintos sienos ("Dagilėlio" dainavimo mokykla, l-d "Vaikystė", Jovaro progimnazija  ir kt.).)</t>
  </si>
  <si>
    <t>Atnaujinta vėdinimo sistema ir lauko laiptai (Gytarių progimnazija)</t>
  </si>
  <si>
    <t>Įstaigų, kuriose atliktas vamzdynų ir patalpų remontas, įsigyta įranga (lopšeliai-darželiai "Ežerėlis", "Drugelis", "Pasaka", "Gintarėlis", "Pupų pėdas", "Žilvitis", "Eglutė", "Bitė", "Žirniukas", "Vaikystė", Menų m. "Kibirkštis", Gegužių progim. ir kt.)</t>
  </si>
  <si>
    <t>Įstaigų, kuriose atliktas elektros instaliacijos remontas (l/d „Ąžuoliukas“, "Salduvė", ,,Drugelis“, "Eglutė", Lieporių gimnazija, Aviižonio ugdymo centras ir kt.)</t>
  </si>
  <si>
    <t>Įstaigų, kuriose atnaujinti arba suremontuoti stogai („Dagilėlio“ dainavimo mokykla, Juliaus Janonio gimnazija, Dailės mokykla, Dainų muzikos mokykla ir kt.)</t>
  </si>
  <si>
    <t>Įstaigų, kuriose atnaujinti arba suremontuoti fasadai ir nuogrindos (Šiaulių universitetinė, Lieporių gimnazijos, "Romuvos" , Salduvės progimnazijos,  ir kt.)</t>
  </si>
  <si>
    <t>08.05.02.41</t>
  </si>
  <si>
    <t>Įgyvendinti projektą „Didždvario gimnazijos pastato remontas“</t>
  </si>
  <si>
    <t>Atlikta planuotų gimnazijos remonto darbų</t>
  </si>
  <si>
    <t>08.05.02.52</t>
  </si>
  <si>
    <t>Įgyvendinti projektą „Šiaulių Didždvario gimnazijos ir Šiaulių „Juventos“ progimnazijos ugdymo aplinkos modernizavimas“</t>
  </si>
  <si>
    <t>Švietimo skyrius; Projektų valdymo skyrius</t>
  </si>
  <si>
    <t>08.05.02.53</t>
  </si>
  <si>
    <t>Įgyvendinti projektą „Lopšelio darželio „Kregždutė" modernizavimas“</t>
  </si>
  <si>
    <t>08.05.02.60</t>
  </si>
  <si>
    <t>Įgyvendinti švietimo įstaigų modernizavimo projektą</t>
  </si>
  <si>
    <t>Švietimo skyrius; Statybos ir renovacijos skyrius</t>
  </si>
  <si>
    <t>Įrengti liftai ir kitas pritaikymas neįgaliesiems švietimo įstaigose</t>
  </si>
  <si>
    <t>Įdiegta kondicionavimo įranga ikimokyklinio ugdymo įstaigose</t>
  </si>
  <si>
    <t>08.05.02.61</t>
  </si>
  <si>
    <t>Įgyvendinti projektą „Savivaldybės viešųjų pastatų atnaujinimui teikiamų subsidijų panaudojimas“</t>
  </si>
  <si>
    <t>Švietimo skyrius; Projektų valdymo skyrius; Statybos ir renovacijos skyrius</t>
  </si>
  <si>
    <t>Atnaujinta (modernizuota) savivaldybės viešųjų pastatų</t>
  </si>
  <si>
    <t>08.05.02.62</t>
  </si>
  <si>
    <t>Užtikrinti švietimo įstaigų pastatų ir vidaus patalpų avarinių situacijų šalinimą</t>
  </si>
  <si>
    <t>Pašalintos vidaus ir išorės pastatų, lauko aplinkos avarinės situacijos švietimo įstaigose</t>
  </si>
  <si>
    <t>08.05.02.64</t>
  </si>
  <si>
    <t>Atnaujinti mokyklų sporto sales</t>
  </si>
  <si>
    <t>Suremontuotų  sporto salių (ir pagalbinių patalpų) švietimo įstaigose (V. Kudirkos,  Gegužių, Gytarių, Jovaro , Zoknių, "Romuvos" progimnazijų, "Romuvos", Šiaulių universitetinės, S. Daukanto inžinerinės, S. Šalkauskio, "Santarvės" gimnazijų, "Ringuvos" mokyklos ir kt.)</t>
  </si>
  <si>
    <t>08.05.02.65</t>
  </si>
  <si>
    <t>Atnaujinti Šiaulių jaunųjų gamtininkų centrą (Žuvininkų g.30)</t>
  </si>
  <si>
    <t>Švietimo skyrius; Statybos ir renovacijos skyrius; Projektų valdymo skyrius; Šiaulių jaunųjų gamtininkų centras</t>
  </si>
  <si>
    <t>Parengtas projektas</t>
  </si>
  <si>
    <t>08.05.02.66</t>
  </si>
  <si>
    <t>Įrengti edukacines erdves bendrojo ugdymo mokyklose, plėtojant visos dienos mokyklos veiklas</t>
  </si>
  <si>
    <t>Įsigyta įranga ir baldai</t>
  </si>
  <si>
    <t>08.05.02.67</t>
  </si>
  <si>
    <t>Didinti ikimokyklinio ugdymo paslaugų prieinamumą, pritaikant ikimokykliniam ugdymui pastatą adresu Pabalių g. 53</t>
  </si>
  <si>
    <t>Sukurtų naujų ikimokyklinio ugdymo vietų</t>
  </si>
  <si>
    <t>08.05.02.68</t>
  </si>
  <si>
    <t>Įgyvendinti bendrojo ugdymo mokyklų projektą ,,Tūkstantmečio mokyklos I“</t>
  </si>
  <si>
    <t>Švietimo skyrius; Projektų valdymo skyrius; Šiaulių universitetinė gimnazija; Šiaulių S. Šalkauskio gimnazija; Šiaulių Salduvės progimnazija; Šiaulių Ragainės progimnazija; Šiaulių Gytarių progimnazija; Statybos ir renovacijos skyrius</t>
  </si>
  <si>
    <t>Atnaujinta infrastruktūra Šiaulių universitetinėje ir S. Šalkauskio gimnazijose, Gytarių, Ragainės ir Salduvės progimnazijose</t>
  </si>
  <si>
    <t>Įgyvendintos ugdymo kokybę gerinančios priemonės Šiaulių universitetinėje ir S. Šalkauskio gimnazijose, Gytarių, Ragainės ir Salduvės progimnazijose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</si>
  <si>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</si>
  <si>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</si>
  <si>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</si>
  <si>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</si>
  <si>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08.05.02.69</t>
  </si>
  <si>
    <t>Įgyvendinti projektą „S. Daukanto gimnazijos pastato (S. Daukanto g. 71, Šiauliai) modernizavimas bei funkcionalumo didinimas pritaikant jį pagrindiniam bei viduriniam ugdymui pagal specializuotas inžinerinio ugdymo programas“</t>
  </si>
  <si>
    <t>Parengta techninė dokumentacija</t>
  </si>
  <si>
    <t>08.05.02.70</t>
  </si>
  <si>
    <t>Įgyvendinti projektą „Ugdymo aplinkos atnaujinimas Šiaulių miesto Vinco Kudirkos progimnazijoje“</t>
  </si>
  <si>
    <t>08.05.02.71</t>
  </si>
  <si>
    <t>Įgyvendinti projektą „Ugdymo aplinkos atnaujinimas Šiaulių miesto Ragainės progimnazijoje“</t>
  </si>
  <si>
    <t>08.05.02.72</t>
  </si>
  <si>
    <t>Įgyvendinti projektą „Šiaulių miesto „Romuvos", „Dainų", Salduvės progimnazijų bei Didždvario ir Lieporių gimnazijų lauko infrastruktūros ir aplinkinių teritorijų funkcionalumo didinimas“</t>
  </si>
  <si>
    <t>09.</t>
  </si>
  <si>
    <t>Bendruomenės sveikatinimo programa</t>
  </si>
  <si>
    <t>Sveikatos skyrius</t>
  </si>
  <si>
    <t>09.01.</t>
  </si>
  <si>
    <t>Sudaryti palankias sąlygas miesto bendruomenei sveikatinti ir gerinti sveikatos priežiūros paslaugų kokybę ir prieinamumą</t>
  </si>
  <si>
    <t>Asmenų sergamumas, tenkantis 1000 savivaldybės gyventojų, skaičiaus pokytis per metus</t>
  </si>
  <si>
    <t>09.01.01.</t>
  </si>
  <si>
    <t>Modernizuoti sveikatos priežiūros įstaigų infrastruktūrą</t>
  </si>
  <si>
    <t>09.01.01.05</t>
  </si>
  <si>
    <t>Įgyvendinti projektą „Energetinių charakteristikų gerinimas VšĮ Dainų pirminės sveikatos priežiūros centre"</t>
  </si>
  <si>
    <t>Sveikatos skyrius; VšĮ Dainų pirminės sveikatos priežiūros centras; Statybos ir renovacijos skyrius; Projektų valdymo skyrius</t>
  </si>
  <si>
    <t>Įrengtas liftas</t>
  </si>
  <si>
    <t>09.01.01.11</t>
  </si>
  <si>
    <t>Įgyvendinti projektą „VšĮ Šiaulių ilgalaikio gydymo ir geriatrijos centro pastatų rekonstravimas, aktyvios ventiliacijos įrengimas, kiemo gerbūvio sutvarkymas ir maisto gamybos skyriaus modernizavimas"</t>
  </si>
  <si>
    <t>Statybos ir renovacijos skyrius; Sveikatos skyrius; VšĮ Šiaulių ilgalaikio gydymo ir geriatrijos centras</t>
  </si>
  <si>
    <t>Atlikta naujojo korpuso dalies rekuperavimo ir kondicionavimo sistemos įrengimo darbų</t>
  </si>
  <si>
    <t>Atlikta fasado šiltinimo ir atnaujinimo darbų</t>
  </si>
  <si>
    <t>09.01.01.13</t>
  </si>
  <si>
    <t>Modernizuoti VšĮ Šiaulių centro polikliniką</t>
  </si>
  <si>
    <t>VšĮ Šiaulių centro poliklinika; Sveikatos skyrius</t>
  </si>
  <si>
    <t>Atlikta naujojo Odontologijos korpuso fasado remonto darbų</t>
  </si>
  <si>
    <t>Atlikta rekuperavimo ir kondicionavimo sistemos pagrindiniame poliklinikos korpuse įrengimo darbų</t>
  </si>
  <si>
    <t>Įsigyta medicininė įranga</t>
  </si>
  <si>
    <t>Atlikta vidaus patalpų atnaujinimo darbų</t>
  </si>
  <si>
    <t>09.01.01.18</t>
  </si>
  <si>
    <t>Didinti VšĮ Dainų pirminės sveikatos priežiūros centro funkcionalumą</t>
  </si>
  <si>
    <t>Įrengtas elektros tiekimo šaltinis</t>
  </si>
  <si>
    <t>Modernizuota pastato Aido g. 16 A dalis</t>
  </si>
  <si>
    <t>Sutvarkyta viešo naudojimo šaligatvių danga</t>
  </si>
  <si>
    <t>09.01.01.19</t>
  </si>
  <si>
    <t>Įgyvendinti projektą „Sveikatos centrų sudėtyje teikiamų sveikatos priežiūros paslaugų infrastruktūros modernizavimas Šiaulių miesto savivaldybėje“</t>
  </si>
  <si>
    <t>Sveikatos skyrius; Projektų valdymo skyrius</t>
  </si>
  <si>
    <t>Įsigyta automobilių</t>
  </si>
  <si>
    <t>09.01.01.20</t>
  </si>
  <si>
    <t>Įgyvendinti projektą „Ilgalaikės priežiūros dienos centrų įrengimas, mobilių komandų aprūpinimas įranga ir transporto priemonėmis“</t>
  </si>
  <si>
    <t>Įkurtų specializuotų dienos priežiūros centrų</t>
  </si>
  <si>
    <t>Sukurtų mobilių komandų</t>
  </si>
  <si>
    <t>Įsigyta įrangos</t>
  </si>
  <si>
    <t>Modernizuoto ilgalaikės priežiūros dienos centro talpumas dienai</t>
  </si>
  <si>
    <t>09.01.02.</t>
  </si>
  <si>
    <t>Plėtoti visuomenės sveikatos priežiūros paslaugas ir ugdyti visuomenės poreikį sveikai gyventi</t>
  </si>
  <si>
    <t>09.01.02.04</t>
  </si>
  <si>
    <t>Užtikrinti Visuomenės sveikatos biuro veiklą</t>
  </si>
  <si>
    <t>Sveikatos skyrius; Šiaulių miesto savivaldybės visuomenės sveikatos biuras</t>
  </si>
  <si>
    <t>Privalomojo mokymo metu mokytų asmenų</t>
  </si>
  <si>
    <t>09.01.02.05</t>
  </si>
  <si>
    <t>Plėtoti sveiką gyvenseną bei stiprinti sveikos gyvensenos įgūdžius ugdymo įstaigose ir bendruomenėse, vykdyti visuomenės sveikatos stebėseną</t>
  </si>
  <si>
    <t>Ugdymo įstaigų, kuriose vykdytos visuomenės sveikatos priežiūros funkcijos</t>
  </si>
  <si>
    <t>Mokinių, dalyvavusių sveikatinimo veiklose ugdymo įstaigose</t>
  </si>
  <si>
    <t>Stebėsenos ataskaitų su pasiūlymais dėl gyventojų sveikatos būklės gerinimo</t>
  </si>
  <si>
    <t>Miesto gyventojų, dalyvavusių sveikatinimo veiklose</t>
  </si>
  <si>
    <t>Asmenų, baigusių Širdies ir kraujagyslių ligų ir cukrinio diabeto prevencinę sveikatos stiprinimo programą</t>
  </si>
  <si>
    <t>09.01.02.07</t>
  </si>
  <si>
    <t>Plėtoti visuomenės psichikos sveikatos paslaugų prieinamumą bei ankstyvojo savižudybių atpažinimo ir kompleksinės pagalbos teikimo sistemą</t>
  </si>
  <si>
    <t>Suteiktų individualių konsultacijų</t>
  </si>
  <si>
    <t>Suteiktų grupinių konsultacijų</t>
  </si>
  <si>
    <t>Pravestų mokymų</t>
  </si>
  <si>
    <t>09.01.04.</t>
  </si>
  <si>
    <t>Vykdyti ligų prevenciją ir didinti sveikatos priežiūros paslaugų prieinamumą</t>
  </si>
  <si>
    <t>09.01.04.04</t>
  </si>
  <si>
    <t>Įgyvendinti projektą „Paramos priemonių tuberkulioze sergantiems asmenims įgyvendinimas Šiaulių mieste"</t>
  </si>
  <si>
    <t>Tuberkulioze sergančių pacientų, kuriems buvo suteiktos socialinės paramos priemonės tuberkuliozės ambulatorinio gydymo metu</t>
  </si>
  <si>
    <t>09.01.04.05</t>
  </si>
  <si>
    <t>Įgyvendinti projektą „Priklausomybės ligų profilaktikos, diagnostikos ir gydymo kokybės ir prieinamumo gerinimas Šiaulių mieste"</t>
  </si>
  <si>
    <t>Sveikatos skyrius; VšĮ Šiaulių centro poliklinika</t>
  </si>
  <si>
    <t>Apsilankymų žemo slenksčio paslaugų kabinetuose</t>
  </si>
  <si>
    <t>09.01.04.06</t>
  </si>
  <si>
    <t>Pritraukti sveikatos specialistus į Šiaulių miestą ir išlaikyti jame</t>
  </si>
  <si>
    <t>Pažangos_02</t>
  </si>
  <si>
    <t>Paremtų gydytojų, atvykusių dirbti į Šiaulius</t>
  </si>
  <si>
    <t>Finansuotų sveikatos mokslų studentų</t>
  </si>
  <si>
    <t>09.01.04.10</t>
  </si>
  <si>
    <t>Vykdyti Visuomenės sveikatos rėmimo specialiąją programą</t>
  </si>
  <si>
    <t>Sveikatos skyrius; Šiaulių sporto centras ,,Atžalynas"</t>
  </si>
  <si>
    <t>Įgyvendinta programa</t>
  </si>
  <si>
    <t>10.</t>
  </si>
  <si>
    <t>Socialinės paramos įgyvendinimo programa</t>
  </si>
  <si>
    <t>Socialinių paslaugų skyrius; Socialinių išmokų ir kompensacijų skyrius</t>
  </si>
  <si>
    <t>10.01.</t>
  </si>
  <si>
    <t>Įgyvendinti socialinės apsaugos sistemą, mažinančią socialinę atskirtį ir užtikrinančią pažeidžiamų gyventojų grupių socialinę integraciją</t>
  </si>
  <si>
    <t>Socialinių paslaugų gavėjų dalis nuo bendro Šiaulių miesto gyventojų skaičiaus</t>
  </si>
  <si>
    <t>Piniginės socialinės paramos gavėjų dalis nuo bendro Šiaulių miesto gyventojų skaičiaus</t>
  </si>
  <si>
    <t>Mažas pajamas gaunančių socialinės paramos gavėjų dalis nuo bendro Šiaulių miesto gyventojų skaičiaus</t>
  </si>
  <si>
    <t>10.01.01.</t>
  </si>
  <si>
    <t>Teikti socialines paslaugas ir didinti jų prieinamumą įvairioms gyventojų grupėms</t>
  </si>
  <si>
    <t>10.01.01.05</t>
  </si>
  <si>
    <t>Teikti ilgalaikės, trumpalaikės ir dienos socialinės globos paslaugas senyvo amžiaus asmenims, suaugusiems asmenims ir vaikams su negalia ir su sunkia negalia</t>
  </si>
  <si>
    <t>Socialinių paslaugų skyrius</t>
  </si>
  <si>
    <t>Teikiamų paslaugų rūšių</t>
  </si>
  <si>
    <t>Patenkintų prašymų laikino atokvėpio paslaugai gauti (nuo visų pateiktų asmenų prašymų)</t>
  </si>
  <si>
    <t>Ilgalaikės ir trumpalaikės globos paslaugų gavėjai su sunkia negalia (unikalūs)</t>
  </si>
  <si>
    <t>Ilgalaikės ir trumpalaikės globos paslaugų gavėjai su negalia (unikalūs)</t>
  </si>
  <si>
    <t>Dienos socialinės globos paslaugų gavėjai su sunkia negalia (unikalūs)</t>
  </si>
  <si>
    <t>Dienos socialinės globos paslaugų asmens namuose gavėjų su negalia (unikalūs)</t>
  </si>
  <si>
    <t>10.01.01.07</t>
  </si>
  <si>
    <t>Įgyvendinti Užimtumo didinimo programą</t>
  </si>
  <si>
    <t>Šiaulių miesto savivaldybės socialinių paslaugų centras; Socialinių paslaugų skyrius</t>
  </si>
  <si>
    <t>Įsidarbinusių asmenų dalis nuo bendro Programoje dalyvavusių asmenų skaičiaus</t>
  </si>
  <si>
    <t>10.01.01.09</t>
  </si>
  <si>
    <t>Įgyvendinti Būsto pritaikymo asmenims turintiems negalią programą</t>
  </si>
  <si>
    <t>Socialinių paslaugų skyrius; Statybos ir renovacijos skyrius; Šiaulių miesto savivaldybės socialinių paslaugų centras</t>
  </si>
  <si>
    <t>Pritaikytų būstų dalis nuo visų gautų paraiškų</t>
  </si>
  <si>
    <t>10.01.01.10</t>
  </si>
  <si>
    <t>Didinti socialinių paslaugų prieinamumą</t>
  </si>
  <si>
    <t>Suteikta asmeninės pagalbos paslaugų asmenims su negalia nuo pateiktų prašymų</t>
  </si>
  <si>
    <t>Suteikta palydėjimo jaunuoliams paslaugų nuo pateiktų prašymų</t>
  </si>
  <si>
    <t>Suteikta intensyvios krizių įveikimo pagalbos paslaugų nuo pateiktų prašymų</t>
  </si>
  <si>
    <t>Patenkintų prašymų pagalbos į namus paslaugai gauti nuo visų pateiktų asmenų prašymų</t>
  </si>
  <si>
    <t>10.01.01.11</t>
  </si>
  <si>
    <t>Užtikrinti socialinių paslaugų įstaigų veiklą ir prienamumą</t>
  </si>
  <si>
    <t>Socialinių paslaugų skyrius; Šiaulių miesto savivaldybės socialinių paslaugų centras; Šiaulių miesto šeimos centras; Šiaulių miesto savivaldybės globos namai; Kompleksinių paslaugų namai ,,Alka"</t>
  </si>
  <si>
    <t>Socialinių paslaugų centre teikiamų paslaugų rūšių</t>
  </si>
  <si>
    <t>Socialinių paslaugų centre aptarnautų asmenų (šeimų)</t>
  </si>
  <si>
    <t>Globos namuose teikiamų paslaugų rūšių</t>
  </si>
  <si>
    <t>Globos namuose aptarnautų asmenų</t>
  </si>
  <si>
    <t>Kompleksinių paslaugų namuose "Alka" teikiamų paslaugų rūšių</t>
  </si>
  <si>
    <t>Kompleksinių paslaugų namuose "Alka" paslaugų gavėjų</t>
  </si>
  <si>
    <t>Šeimos centre teikiamų paslaugų rūšių</t>
  </si>
  <si>
    <t>Šeimos centre paslaugų gavėjų</t>
  </si>
  <si>
    <t>10.01.01.12</t>
  </si>
  <si>
    <t>Užtikrinti socialinės globos paslaugų teikimą vaikams, likusiems be tėvų globos</t>
  </si>
  <si>
    <t>Globojamų vaikų šeimose</t>
  </si>
  <si>
    <t>Globojamų vaikų šeimynose</t>
  </si>
  <si>
    <t>Globojamų vaikų bendruomeniniuose vaikų globos namuose</t>
  </si>
  <si>
    <t>10.01.01.13</t>
  </si>
  <si>
    <t>Užtikrinti socialinės reabilitacijos paslaugų neįgaliesiems teikimą bendruomenėje</t>
  </si>
  <si>
    <t>Akredituotų įstaigų, teikiančių socialinės reabilitacijos paslaugas</t>
  </si>
  <si>
    <t>Unikalių paslaugų gavėjų</t>
  </si>
  <si>
    <t>10.01.01.14</t>
  </si>
  <si>
    <t>Užtikrinti vaikų dienos centrų veiklą ir prieinamumą</t>
  </si>
  <si>
    <t>Vaikų, lankančių dienos centrus</t>
  </si>
  <si>
    <t>Įstaigų, teikiančių vaikų dienos socialinę priežiūrą</t>
  </si>
  <si>
    <t>Vaikų su negalia dalis nuo visų vaikų dienos centrus lankančių vaikų skaičiaus</t>
  </si>
  <si>
    <t>10.01.01.15</t>
  </si>
  <si>
    <t>Užtikrinti kraitelio skyrimą šeimoms, susilaukusioms kūdikio</t>
  </si>
  <si>
    <t>Socialinių paslaugų skyrius; Civilinės metrikacijos skyrius</t>
  </si>
  <si>
    <t>Nupirktų kraitelių</t>
  </si>
  <si>
    <t>Kūdikiams įteiktų kraitelių dalis nuo visų per metus gimusių kūdikių</t>
  </si>
  <si>
    <t>10.01.01.17</t>
  </si>
  <si>
    <t>Įgyvendinti projektą „Kompleksinės paslaugos šeimai Šiaulių miesto savivaldybėje"</t>
  </si>
  <si>
    <t>Paslaugų gavėjų</t>
  </si>
  <si>
    <t>Bendruomeninių šeimos namų darbuotojų, organizuojančių kompleksinių paslaugų teikimą šeimai</t>
  </si>
  <si>
    <t>10.01.01.19</t>
  </si>
  <si>
    <t>Užtikrinti Globos centrų veiklą</t>
  </si>
  <si>
    <t>Socialinių paslaugų skyrius; Šiaulių miesto savivaldybės socialinių paslaugų centras; Šiaulių miesto šeimos centras</t>
  </si>
  <si>
    <t>Budinčių globotojų</t>
  </si>
  <si>
    <t>Budinčių globotojų šeimose globojamų vaikų</t>
  </si>
  <si>
    <t>GIMK mokymus baigusių asmenų</t>
  </si>
  <si>
    <t>Globėjų (rūpintojų)</t>
  </si>
  <si>
    <t>10.01.01.21</t>
  </si>
  <si>
    <t>Įgyvendinti materialinio nepritekliaus mažinimo programą</t>
  </si>
  <si>
    <t>Socialinių paslaugų skyrius; Šiaulių miesto savivaldybės socialinių paslaugų centras</t>
  </si>
  <si>
    <t>Šeimų gaunančių paramą</t>
  </si>
  <si>
    <t>10.01.01.22</t>
  </si>
  <si>
    <t>Įgyvendinti projektą „Perėjimas nuo institucinės globos prie bendruomeninių paslaugų Sostinės regione, Vidurio ir vakarų Lietuvos regione“</t>
  </si>
  <si>
    <t>Pasirašyta sutikimų dalyvauti atvejo vadybos modelio taikyme su asmenimis, turinčiais psichikos ir (ar) intelekto negalią</t>
  </si>
  <si>
    <t>Inicijuoti atvejo vadybos modelio taikymo atvejai</t>
  </si>
  <si>
    <t>Partneriai vykdantys socialinių įgūdžių ugdymo, palaikymo ir (ar) atkūrimo (socialinių dirbtuvių) veiklą</t>
  </si>
  <si>
    <t>Socialinių dirbtuvių veikloje dalyvaujantys asmenys, turintys psichikos ir (ar) intelekto negalią</t>
  </si>
  <si>
    <t>10.01.03.</t>
  </si>
  <si>
    <t>Plėsti  socialinių paslaugų įstaigų infrastruktūrą, atnaujinant ir modernizuojant esamus bei įrengiant naujus socialinės paskirties įstaigų pastatus</t>
  </si>
  <si>
    <t>10.01.03.09</t>
  </si>
  <si>
    <t>Pastatyti (pritaikyti pastatą) nakvynės namų ir apgyvendinimo paslaugoms teikti</t>
  </si>
  <si>
    <t>Statybos ir renovacijos skyrius; Socialinių paslaugų skyrius; Šiaulių miesto savivaldybės socialinių paslaugų centras</t>
  </si>
  <si>
    <t>Atlikti laikino apgyvendinimo paslaugoms teikti (Tiesos g. 3) projekto II ir III etapo darbai</t>
  </si>
  <si>
    <t>10.01.03.10</t>
  </si>
  <si>
    <t>Rekonstruoti Šiaulių miesto savivaldybės socialinių paslaugų centro Paramos tarnybos pastatą (Stoties g.)</t>
  </si>
  <si>
    <t>Statybos ir renovacijos skyrius; Socialinių paslaugų skyrius; Šiaulių miesto savivaldybės socialinių paslaugų centras; Projektų valdymo skyrius</t>
  </si>
  <si>
    <t>10.01.03.12</t>
  </si>
  <si>
    <t>Įgyvendinti projektą „Bendruomeninių apgyvendinimo bei užimtumo paslaugų asmenims su proto ir psichikos negaliai plėtra Šiaulių mieste“</t>
  </si>
  <si>
    <t>Projektų valdymo skyrius; Statybos ir renovacijos skyrius; Socialinių paslaugų skyrius; Kompleksinių paslaugų namai ,,Alka"</t>
  </si>
  <si>
    <t>Įrengta lietaus nuotekų tinklų</t>
  </si>
  <si>
    <t>10.01.03.16</t>
  </si>
  <si>
    <t>Šeimoje ir bendruomenėje teikiamų paslaugų, asmenims su proto ir intelekto negalia, plėtra</t>
  </si>
  <si>
    <t>Statybos ir renovacijos skyrius; Socialinių paslaugų skyrius; Projektų valdymo skyrius</t>
  </si>
  <si>
    <t>Įsigytų apsaugotų būstų</t>
  </si>
  <si>
    <t>Pastatytų grupinio gyvenimo namų</t>
  </si>
  <si>
    <t>10.01.03.18</t>
  </si>
  <si>
    <t>Atnaujinti Šiaulių miesto savivaldybės socialinių paslaugų centro pastatą (Tilžės g. 63B)</t>
  </si>
  <si>
    <t>Atlikti Socialinių paslaugų centro (Tilžės g. 63B) pastato šiltinimo ir kiti su tuo susiję darbai</t>
  </si>
  <si>
    <t>10.01.05.</t>
  </si>
  <si>
    <t>Užtikrinti valstybės garantuotos piniginės socialinės paramos teikimą</t>
  </si>
  <si>
    <t>10.01.05.01</t>
  </si>
  <si>
    <t>Skirti ir išmokėti išmokas ir kompensacijas</t>
  </si>
  <si>
    <t>Socialinių išmokų ir kompensacijų skyrius</t>
  </si>
  <si>
    <t>Socialinių išmokų ir kompensacijų gavėjų skaičius</t>
  </si>
  <si>
    <t>Laidojimo pašalpų gavėjų skaičius</t>
  </si>
  <si>
    <t>10.01.05.02</t>
  </si>
  <si>
    <t>Skirti ir išmokėti išmokas vaikams</t>
  </si>
  <si>
    <t>Išmokų gavėjų</t>
  </si>
  <si>
    <t>Patvirtintų pareigybių</t>
  </si>
  <si>
    <t>10.01.05.03</t>
  </si>
  <si>
    <t>Skirti ir išmokėti tikslines kompensacijas</t>
  </si>
  <si>
    <t>10.01.05.05</t>
  </si>
  <si>
    <t>Skirti kompensacijas nepriklausomybės gynėjams nukentėjusiems nuo 1991 m. sausio 11-13 d. ir po to vykdytos SSRS agresijos</t>
  </si>
  <si>
    <t>10.01.05.06</t>
  </si>
  <si>
    <t>Skirti kitas išmokas</t>
  </si>
  <si>
    <t>10.01.05.07</t>
  </si>
  <si>
    <t>Skirti socialinę paramą moksleiviams</t>
  </si>
  <si>
    <t>10.01.05.08</t>
  </si>
  <si>
    <t>Kompensuoti keleivinio transporto vežėjų išlaidas (negautas pajamas) už lengvatinį keleivių vežimą reguliaraus susisiekimo maršrutais</t>
  </si>
  <si>
    <t>Sutartinių įsipareigojimų vykdymas</t>
  </si>
  <si>
    <t>10.01.05.09</t>
  </si>
  <si>
    <t>Įgyvendinti vystomojo bendradarbiavimo veiklą ir teikti humanitarinę pagalbą</t>
  </si>
  <si>
    <t>Civilinės saugos ir teisėtvarkos skyrius</t>
  </si>
  <si>
    <t>Suteikta pagalba (parama) šaliai, kurioje įvesta nepaprastoji padėtis ir (ar) karo padėtis</t>
  </si>
  <si>
    <t>11.</t>
  </si>
  <si>
    <t>Savivaldybės veiklos programa</t>
  </si>
  <si>
    <t>Bendrųjų reikalų skyrius</t>
  </si>
  <si>
    <t>11.01.</t>
  </si>
  <si>
    <t>Efektyviai organizuoti Savivaldybės darbą ir užtikrinti Savivaldybės funkcijų įgyvendinimą</t>
  </si>
  <si>
    <t>Suteiktų elektroninių paslaugų kiekis</t>
  </si>
  <si>
    <t>Valstybės deleguotų funkcijų skaičius</t>
  </si>
  <si>
    <t>Vidutiniškai vieno darbuotojo dalyvavimas mokymuose (kartais)</t>
  </si>
  <si>
    <t>11.01.01.</t>
  </si>
  <si>
    <t>Organizuoti  Savivaldybės veiklos funkcijų įgyvendinimą</t>
  </si>
  <si>
    <t>11.01.01.01</t>
  </si>
  <si>
    <t>Užtikrinti Savivaldybės administracijos finansinį, ūkinį ir materialinį aptarnavimą</t>
  </si>
  <si>
    <t>Apskaitos skyrius</t>
  </si>
  <si>
    <t>Valstybės karjeros tarnautojų (pareigybių)</t>
  </si>
  <si>
    <t>Darbuotojų dirbančių pagal darbo sutartis (pareigybių)</t>
  </si>
  <si>
    <t>Įvykdytų planuotų administracijos remonto darbų</t>
  </si>
  <si>
    <t>Įsigyta kompiuterinės technikos</t>
  </si>
  <si>
    <t>Įsigyta organizacinės technikos</t>
  </si>
  <si>
    <t>Įsigyta duomenų saugyklų</t>
  </si>
  <si>
    <t>Eksploatuojama kompiuterių</t>
  </si>
  <si>
    <t>Aktyvios komunikacijos Savivaldybės socialinėje paskyroje "Facebook" (sekėjai)</t>
  </si>
  <si>
    <t>Mokymų dalyvių</t>
  </si>
  <si>
    <t>Sekėjų socialiniuose tinkluose lietuvių/anglų kalba (Linkedin ir Instagram) skaičius</t>
  </si>
  <si>
    <t>Įsigyta programinės įrangos licencijų</t>
  </si>
  <si>
    <t>11.01.01.02</t>
  </si>
  <si>
    <t>Užtikrinti Savivaldybės tarybos, Savivaldybės mero ir jo politinio (asmeninio) pasitikėjimo valstybės tarnautojų finansinį, ūkinį ir materialinį aptarnavimą</t>
  </si>
  <si>
    <t>Įvykę skelbti Tarybos, Komitetų, Komisijų posėdžiai</t>
  </si>
  <si>
    <t>Laiku paskelbti ir įvykdyti Tarybos priimti sprendimai</t>
  </si>
  <si>
    <t>Mero ir Mero politinio (asmeninio) pasitikėjimo valstybės tarnautojų (pareigybių)</t>
  </si>
  <si>
    <t>11.01.01.03</t>
  </si>
  <si>
    <t>Užtikrinti Kontrolės ir audito tarnybos finansinį, ūkinį bei materialinį aptarnavimą</t>
  </si>
  <si>
    <t>Kontrolės ir audito tarnyba</t>
  </si>
  <si>
    <t>Atliktų auditų</t>
  </si>
  <si>
    <t>11.01.01.05</t>
  </si>
  <si>
    <t>Užtikrinti Šiaulių apskaitos centro veiklą</t>
  </si>
  <si>
    <t>Užtikrintas centralizuotos apskaitos ir viešųjų pirkimų vykdymas</t>
  </si>
  <si>
    <t>11.01.01.09</t>
  </si>
  <si>
    <t>Užtikrinti projektų vykdymo priežiūros ir kitas inžinerines paslaugas</t>
  </si>
  <si>
    <t>Statybos ir renovacijos skyrius</t>
  </si>
  <si>
    <t>Įgyvendintos projektų vykdymo priežiūros ir kitos inžinerinės paslaugos</t>
  </si>
  <si>
    <t>11.01.01.10</t>
  </si>
  <si>
    <t>Likviduoti įvykių, ekstremalių įvykių ir situacijų pasekmes (mero rezervas)</t>
  </si>
  <si>
    <t>Likviduotos įvykusių ekstremalių įvykių/situacijų pasekmės</t>
  </si>
  <si>
    <t>11.01.01.11</t>
  </si>
  <si>
    <t>Parengti Šiaulių m. 2025–2033 m. strateginį plėtros ir 2025–2027 m. strateginį veiklos planus</t>
  </si>
  <si>
    <t>Strateginio planavimo ir finansų skyrius</t>
  </si>
  <si>
    <t>Parengtas strateginis plėtros planas</t>
  </si>
  <si>
    <t>Parengtas strateginis veiklos planas</t>
  </si>
  <si>
    <t>11.01.01.12</t>
  </si>
  <si>
    <t>Organizuoti civilinės saugos infrastruktūros aprūpinimą</t>
  </si>
  <si>
    <t>Civilinės saugos poskyris</t>
  </si>
  <si>
    <t>Užtikrintas aprūpinimas priemonėmis, skirtomis ekstremaliųjų situacijų valdymui</t>
  </si>
  <si>
    <t>11.01.02.</t>
  </si>
  <si>
    <t>Tinkamai įgyvendinti valstybines (perduotas savivaldybei) funkcijas</t>
  </si>
  <si>
    <t>11.01.02.01</t>
  </si>
  <si>
    <t>Deklaruoti gyvenamąją vietą</t>
  </si>
  <si>
    <t>Užtikrintas funkcijos įgyvendinimas</t>
  </si>
  <si>
    <t>11.01.02.02</t>
  </si>
  <si>
    <t>Teikti duomenis Valstybės registrui</t>
  </si>
  <si>
    <t>11.01.02.03</t>
  </si>
  <si>
    <t>Teikti pirminę teisinę pagalbą</t>
  </si>
  <si>
    <t>Teisės skyrius</t>
  </si>
  <si>
    <t>11.01.02.05</t>
  </si>
  <si>
    <t>Registruoti civilinės būklės aktus</t>
  </si>
  <si>
    <t>Civilinės metrikacijos skyrius</t>
  </si>
  <si>
    <t>11.01.02.06</t>
  </si>
  <si>
    <t>Tvarkyti Gyventojų registrą</t>
  </si>
  <si>
    <t>11.01.02.07</t>
  </si>
  <si>
    <t>Vykdyti valstybinės kalbos vartojimo kontrolę</t>
  </si>
  <si>
    <t>11.01.02.09</t>
  </si>
  <si>
    <t>Įgyvendinti jaunimo politiką</t>
  </si>
  <si>
    <t>Vyriausiasis specialistas (jaunimo reikalų koordinatorius)</t>
  </si>
  <si>
    <t>11.01.02.10</t>
  </si>
  <si>
    <t>Tvarkyti archyvinius dokumentus</t>
  </si>
  <si>
    <t>11.01.02.11</t>
  </si>
  <si>
    <t>Administruoti mobilizaciją</t>
  </si>
  <si>
    <t>11.01.02.12</t>
  </si>
  <si>
    <t>Organizuoti civilinę saugą</t>
  </si>
  <si>
    <t>11.01.02.13</t>
  </si>
  <si>
    <t>Vykdyti žemės ūkio funkcijas</t>
  </si>
  <si>
    <t>11.01.02.14</t>
  </si>
  <si>
    <t>Administruoti Užimtumo didinimo programą</t>
  </si>
  <si>
    <t>11.01.02.15</t>
  </si>
  <si>
    <t>Administruoti socialines pašalpas</t>
  </si>
  <si>
    <t>11.01.02.17</t>
  </si>
  <si>
    <t>Administruoti socialinę paramą mokiniams</t>
  </si>
  <si>
    <t>11.01.02.18</t>
  </si>
  <si>
    <t>Administruoti socialinę globą</t>
  </si>
  <si>
    <t>11.01.02.20</t>
  </si>
  <si>
    <t>Administruoti būsto nuomos ar išperkamosios būsto nuomos mokesčių dalies kompensacijas</t>
  </si>
  <si>
    <t>11.01.02.21</t>
  </si>
  <si>
    <t>Užtikrinti informacijos apie neveiksnių asmenų būklę persvarstymą</t>
  </si>
  <si>
    <t>Komisijos priimti sprendimai kreiptis į teismą</t>
  </si>
  <si>
    <t>Komisijos inicijuoti asmens būklės peržiūrėjimai</t>
  </si>
  <si>
    <t>11.01.02.22</t>
  </si>
  <si>
    <t>Organizuoti tarpinstitucinio bendradarbiavimo koordinatoriaus darbą</t>
  </si>
  <si>
    <t>11.01.02.23</t>
  </si>
  <si>
    <t>Atlikti erdvinių duomenų rinkinio tvarkymo funkciją</t>
  </si>
  <si>
    <t>Atlikta tvarkymo funkcija</t>
  </si>
  <si>
    <t>11.01.02.25</t>
  </si>
  <si>
    <t>Vykdyti valstybinės žemės, perduotos Vyriausybės nutarimu, patikėtinio funkciją</t>
  </si>
  <si>
    <t>11.01.02.26</t>
  </si>
  <si>
    <t>Asmenų su negalia reikalų koordinatoriaus pareigybės išlaikymas</t>
  </si>
  <si>
    <t>11.01.04.</t>
  </si>
  <si>
    <t>Diegti ir palaikyti Savivaldybės administracijoje modernias informacines sistemas</t>
  </si>
  <si>
    <t>11.01.04.03</t>
  </si>
  <si>
    <t>Įgyvendinti administracinės naštos mažinimo planą ir organizuoti plano įgyvendinimo stebėseną</t>
  </si>
  <si>
    <t>Įgyvendintų plano priemonių</t>
  </si>
  <si>
    <t>11.01.04.04</t>
  </si>
  <si>
    <t>Gerinti asmenų aptarnavimo ir paslaugų kokybę Šiaulių miesto savivaldybėje</t>
  </si>
  <si>
    <t>Projektų valdymo skyrius; Bendrųjų reikalų skyrius; Miesto koordinavimo skyrius</t>
  </si>
  <si>
    <t>Testuotas pilotinis sprendinys energetinio efektyvumo didinimo srityje</t>
  </si>
  <si>
    <t>11.01.06.</t>
  </si>
  <si>
    <t>Užtikrinti finansinių įsipareigojimų vykdymą</t>
  </si>
  <si>
    <t>11.01.06.01</t>
  </si>
  <si>
    <t>Vykdyti paskolų grąžinimą, palūkanų už paskolas mokėjimą ir kitus finansinius  įsipareigojimus</t>
  </si>
  <si>
    <t>Įvykdyti skoliniai įsipareigojimai</t>
  </si>
  <si>
    <t>11.01.06.02</t>
  </si>
  <si>
    <t>Kompensuoti keleivių vežimo vietiniais maršrutais organizavimo išlaidas</t>
  </si>
  <si>
    <t>Įvykdyti sutartiniai įsipareigojimai</t>
  </si>
  <si>
    <t>11.01.06.03</t>
  </si>
  <si>
    <t>Vykdyti išmokėtos dotacijų dalies savivaldybei grąžinimą</t>
  </si>
  <si>
    <t>Projektų valdymo skyrius</t>
  </si>
  <si>
    <t>11.01.06.04</t>
  </si>
  <si>
    <t>Užtikrinti Biudžetinių įstaigų finansinį, ūkinį aptarnavimą</t>
  </si>
  <si>
    <t>Įvykdyti švietimo įstaigų statinių inžinerinių sistemų avarijų ir jų padarinių šalinimo darbai</t>
  </si>
  <si>
    <t>Apdraustų biudžetinių įstaigų civilinės atsakomybės draudimu</t>
  </si>
  <si>
    <t>11.01.07.</t>
  </si>
  <si>
    <t>Užtikrinti pagrindinius lygių galimybių principus Savivaldybės administracijoje</t>
  </si>
  <si>
    <t>11.01.07.01</t>
  </si>
  <si>
    <t>Sudaryti galimybes Savivaldybės administracijos darbuotojams dirbti nuotoliniu būdu ir taikyti lanksčius darbo grafikus</t>
  </si>
  <si>
    <t>Sudarytos sąlygos dirbti nuotoliniu būdu</t>
  </si>
  <si>
    <t>11.01.07.02</t>
  </si>
  <si>
    <t>Teikti pasiūlymus dėl lygių galimybių kriterijų/krypčių numatymo Savivaldybės vykdomose programose</t>
  </si>
  <si>
    <t>Pateikti pasiūlymai</t>
  </si>
  <si>
    <t>11.01.07.03</t>
  </si>
  <si>
    <t>Užtikrinti informacijos sklaidą lygių galimybių klausimais</t>
  </si>
  <si>
    <t>Parengta straipsnių</t>
  </si>
  <si>
    <t>11.02.</t>
  </si>
  <si>
    <t>Plėtoti bendradarbiavimą su socialiniais partneriais</t>
  </si>
  <si>
    <t>Prevencinės programos įgyvendinimas</t>
  </si>
  <si>
    <t>Finansuota bendruomeninių projektų</t>
  </si>
  <si>
    <t>11.02.01.</t>
  </si>
  <si>
    <t>Plėtoti bendradarbiavimą su miesto teisėtvarkos institucijomis ir vietos bendruomene</t>
  </si>
  <si>
    <t>11.02.01.01</t>
  </si>
  <si>
    <t>Įgyvendinti prevencines programas</t>
  </si>
  <si>
    <t>Įgyvendintų prevencinių priemonių skaičius</t>
  </si>
  <si>
    <t>11.02.01.03</t>
  </si>
  <si>
    <t>Stiprinti bendruomeninę veiklą savivaldybėje</t>
  </si>
  <si>
    <t>Vyriausiasis specialistas (nevyriausybinių organizacijų koordinatorius)</t>
  </si>
  <si>
    <t>Finansuota projektų</t>
  </si>
  <si>
    <t>Finansuota prašymų</t>
  </si>
  <si>
    <t>11.02.01.04</t>
  </si>
  <si>
    <t>Skatinti nevyriausybinių organizacijų veiklą ir užtikrinti jų plėtrą</t>
  </si>
  <si>
    <t>Suorganizuota mokymų</t>
  </si>
  <si>
    <t>11.02.01.05</t>
  </si>
  <si>
    <t>Dalyvauti rengiant ir įgyvendinant Šiaulių vietos veiklos grupės strategiją</t>
  </si>
  <si>
    <t>Išmokėta prisidėjimo dalis prie Šiaulių miesto vietos veiklos grupės 2022–2029 metų vietos plėtros strategijos įgyvendinimo</t>
  </si>
  <si>
    <t>11.02.01.06</t>
  </si>
  <si>
    <t>Įgyvendinti dalyvaujamojo biudžeto iniciatyvas</t>
  </si>
  <si>
    <t>Miesto plėtros ir paveldosaugos skyrius; Miesto ūkio ir aplinkos skyrius; Vyriausiasis specialistas (jaunimo reikalų koordinatorius)</t>
  </si>
  <si>
    <t>Įgyvendinta bendruomenės iniciatyvų</t>
  </si>
  <si>
    <t>Įgyvendintų iniciatyvų</t>
  </si>
  <si>
    <t>11.02.01.07</t>
  </si>
  <si>
    <t>Dalyvių</t>
  </si>
  <si>
    <t>Jaunimo, dalyvaujančio projektinėje veikloje, dalis nuo bendro jaunimo skaičiaus</t>
  </si>
  <si>
    <t>11.02.01.08</t>
  </si>
  <si>
    <t>Užtikrinti Integracijos paslaugų trečiųjų šalių piliečiams teikimo ir stiprinimo priemonių įgyvendinimą</t>
  </si>
  <si>
    <t>Socialinių paslaugų skyrius; Projektų valdymo skyrius</t>
  </si>
  <si>
    <t>Parengta padalomoji medžiaga</t>
  </si>
  <si>
    <t>Integracijos paslaugų teikimo plane numatytų priemonių įgyvendinimas</t>
  </si>
  <si>
    <t>Įstaigų (savivaldybės biudžetinių įstaigų, nevyriausybinių organizacijų ir kt), teikiančių informaciją interneto svetainėse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</si>
  <si>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</si>
  <si>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</si>
  <si>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</si>
  <si>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</si>
  <si>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</si>
  <si>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</si>
  <si>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</si>
  <si>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</si>
  <si>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</si>
  <si>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</si>
  <si>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</si>
  <si>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</si>
  <si>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</si>
  <si>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</si>
  <si>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2.</t>
  </si>
  <si>
    <t>KITOS LĖŠOS IŠ VISO, IŠ JŲ:</t>
  </si>
  <si>
    <t>Valstybės biudžeto lėšos KT (VB)</t>
  </si>
  <si>
    <t>Europos Sąjungos lėšos KT (ES)</t>
  </si>
  <si>
    <t>Kitų šaltinių lėšos KT (KL)</t>
  </si>
  <si>
    <t>VšĮ Dainų pirminės sveikatos priežiūros centras; Sveikatos skyrius</t>
  </si>
  <si>
    <t>Šiaulių miesto savivaldybės tarybos</t>
  </si>
  <si>
    <t>2024 m. vasario 1 d. sprendimo Nr. T-1</t>
  </si>
  <si>
    <t>(Šiaulių miesto savivaldybės tarybos</t>
  </si>
  <si>
    <t>2024 m. gegužės        d. sprendimo Nr. T-     redakcija)</t>
  </si>
  <si>
    <t>IŠ VISO programoms finansuoti pagal finansavimo šaltinius:</t>
  </si>
  <si>
    <t>2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</si>
</sst>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rgb="FF000000"/>
      <name val="Calibri"/>
      <family val="2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C0E4F6"/>
        <bgColor rgb="FFC0E4F6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C0E4F6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 applyBorder="0"/>
  </cellStyleXfs>
  <cellXfs count="104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2" fillId="2" borderId="0" xfId="0" applyFont="1" applyFill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5" borderId="7" xfId="0" applyFont="1" applyFill="1" applyBorder="1" applyAlignment="1" applyProtection="1">
      <alignment vertical="top" wrapText="1" readingOrder="1"/>
      <protection locked="0"/>
    </xf>
    <xf numFmtId="0" fontId="2" fillId="5" borderId="8" xfId="0" applyFont="1" applyFill="1" applyBorder="1" applyAlignment="1" applyProtection="1">
      <alignment vertical="top" wrapText="1" readingOrder="1"/>
      <protection locked="0"/>
    </xf>
    <xf numFmtId="164" fontId="2" fillId="5" borderId="8" xfId="0" applyNumberFormat="1" applyFont="1" applyFill="1" applyBorder="1" applyAlignment="1">
      <alignment horizontal="right" vertical="top" wrapText="1" readingOrder="1"/>
    </xf>
    <xf numFmtId="0" fontId="2" fillId="4" borderId="7" xfId="0" applyFont="1" applyFill="1" applyBorder="1" applyAlignment="1" applyProtection="1">
      <alignment vertical="top" wrapText="1" readingOrder="1"/>
      <protection locked="0"/>
    </xf>
    <xf numFmtId="164" fontId="2" fillId="4" borderId="8" xfId="0" applyNumberFormat="1" applyFont="1" applyFill="1" applyBorder="1" applyAlignment="1">
      <alignment horizontal="right" vertical="top" wrapText="1" readingOrder="1"/>
    </xf>
    <xf numFmtId="0" fontId="2" fillId="4" borderId="8" xfId="0" applyFont="1" applyFill="1" applyBorder="1" applyAlignment="1" applyProtection="1">
      <alignment horizontal="left" vertical="top" wrapText="1" readingOrder="1"/>
      <protection locked="0"/>
    </xf>
    <xf numFmtId="0" fontId="2" fillId="4" borderId="8" xfId="0" applyFont="1" applyFill="1" applyBorder="1" applyAlignment="1" applyProtection="1">
      <alignment horizontal="center" vertical="top" wrapText="1" readingOrder="1"/>
      <protection locked="0"/>
    </xf>
    <xf numFmtId="0" fontId="2" fillId="4" borderId="9" xfId="0" applyFont="1" applyFill="1" applyBorder="1" applyAlignment="1" applyProtection="1">
      <alignment horizontal="center" vertical="top" wrapText="1" readingOrder="1"/>
      <protection locked="0"/>
    </xf>
    <xf numFmtId="0" fontId="2" fillId="3" borderId="7" xfId="0" applyFont="1" applyFill="1" applyBorder="1" applyAlignment="1" applyProtection="1">
      <alignment vertical="top" wrapText="1" readingOrder="1"/>
      <protection locked="0"/>
    </xf>
    <xf numFmtId="164" fontId="2" fillId="3" borderId="8" xfId="0" applyNumberFormat="1" applyFont="1" applyFill="1" applyBorder="1" applyAlignment="1">
      <alignment horizontal="right" vertical="top" wrapText="1" readingOrder="1"/>
    </xf>
    <xf numFmtId="0" fontId="2" fillId="0" borderId="8" xfId="0" applyFont="1" applyBorder="1" applyAlignment="1" applyProtection="1">
      <alignment horizontal="left" vertical="top" wrapText="1" readingOrder="1"/>
      <protection locked="0"/>
    </xf>
    <xf numFmtId="164" fontId="2" fillId="0" borderId="8" xfId="0" applyNumberFormat="1" applyFont="1" applyBorder="1" applyAlignment="1">
      <alignment horizontal="right" vertical="top" wrapText="1" readingOrder="1"/>
    </xf>
    <xf numFmtId="0" fontId="2" fillId="0" borderId="8" xfId="0" applyFont="1" applyBorder="1" applyAlignment="1" applyProtection="1">
      <alignment horizontal="center" vertical="top" wrapText="1" readingOrder="1"/>
      <protection locked="0"/>
    </xf>
    <xf numFmtId="0" fontId="2" fillId="0" borderId="9" xfId="0" applyFont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horizontal="left" vertical="top" wrapText="1" readingOrder="1"/>
      <protection locked="0"/>
    </xf>
    <xf numFmtId="164" fontId="2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0" fontId="2" fillId="0" borderId="6" xfId="0" applyFont="1" applyBorder="1" applyAlignment="1" applyProtection="1">
      <alignment horizontal="center" vertical="top" wrapText="1" readingOrder="1"/>
      <protection locked="0"/>
    </xf>
    <xf numFmtId="0" fontId="2" fillId="0" borderId="7" xfId="0" applyFont="1" applyBorder="1" applyAlignment="1" applyProtection="1">
      <alignment vertical="top" wrapText="1" readingOrder="1"/>
      <protection locked="0"/>
    </xf>
    <xf numFmtId="0" fontId="2" fillId="0" borderId="8" xfId="0" applyFont="1" applyBorder="1" applyAlignment="1" applyProtection="1">
      <alignment vertical="top" wrapText="1" readingOrder="1"/>
      <protection locked="0"/>
    </xf>
    <xf numFmtId="164" fontId="2" fillId="0" borderId="8" xfId="0" applyNumberFormat="1" applyFont="1" applyBorder="1" applyAlignment="1" applyProtection="1">
      <alignment horizontal="right" vertical="top" wrapText="1" readingOrder="1"/>
      <protection locked="0"/>
    </xf>
    <xf numFmtId="164" fontId="2" fillId="7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2" fillId="7" borderId="1" xfId="0" applyFont="1" applyFill="1" applyBorder="1" applyAlignment="1" applyProtection="1">
      <alignment horizontal="left" vertical="top" wrapText="1" readingOrder="1"/>
      <protection locked="0"/>
    </xf>
    <xf numFmtId="0" fontId="2" fillId="7" borderId="1" xfId="0" applyFont="1" applyFill="1" applyBorder="1" applyAlignment="1" applyProtection="1">
      <alignment horizontal="center" vertical="top" wrapText="1" readingOrder="1"/>
      <protection locked="0"/>
    </xf>
    <xf numFmtId="0" fontId="2" fillId="7" borderId="6" xfId="0" applyFont="1" applyFill="1" applyBorder="1" applyAlignment="1" applyProtection="1">
      <alignment horizontal="center" vertical="top" wrapText="1" readingOrder="1"/>
      <protection locked="0"/>
    </xf>
    <xf numFmtId="3" fontId="2" fillId="0" borderId="1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6" xfId="0" applyNumberFormat="1" applyFont="1" applyBorder="1" applyAlignment="1" applyProtection="1">
      <alignment horizontal="center" vertical="top" wrapText="1" readingOrder="1"/>
      <protection locked="0"/>
    </xf>
    <xf numFmtId="3" fontId="2" fillId="7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4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4" borderId="9" xfId="0" applyNumberFormat="1" applyFont="1" applyFill="1" applyBorder="1" applyAlignment="1" applyProtection="1">
      <alignment horizontal="center" vertical="top" wrapText="1" readingOrder="1"/>
      <protection locked="0"/>
    </xf>
    <xf numFmtId="3" fontId="2" fillId="0" borderId="8" xfId="0" applyNumberFormat="1" applyFont="1" applyBorder="1" applyAlignment="1" applyProtection="1">
      <alignment horizontal="center" vertical="top" wrapText="1" readingOrder="1"/>
      <protection locked="0"/>
    </xf>
    <xf numFmtId="3" fontId="2" fillId="0" borderId="9" xfId="0" applyNumberFormat="1" applyFont="1" applyBorder="1" applyAlignment="1" applyProtection="1">
      <alignment horizontal="center" vertical="top" wrapText="1" readingOrder="1"/>
      <protection locked="0"/>
    </xf>
    <xf numFmtId="0" fontId="2" fillId="5" borderId="8" xfId="0" applyFont="1" applyFill="1" applyBorder="1" applyAlignment="1" applyProtection="1">
      <alignment horizontal="left" vertical="top" wrapText="1" readingOrder="1"/>
      <protection locked="0"/>
    </xf>
    <xf numFmtId="0" fontId="2" fillId="5" borderId="8" xfId="0" applyFont="1" applyFill="1" applyBorder="1" applyAlignment="1" applyProtection="1">
      <alignment horizontal="center" vertical="top" wrapText="1" readingOrder="1"/>
      <protection locked="0"/>
    </xf>
    <xf numFmtId="0" fontId="2" fillId="5" borderId="9" xfId="0" applyFont="1" applyFill="1" applyBorder="1" applyAlignment="1" applyProtection="1">
      <alignment horizontal="center" vertical="top" wrapText="1" readingOrder="1"/>
      <protection locked="0"/>
    </xf>
    <xf numFmtId="3" fontId="2" fillId="7" borderId="6" xfId="0" applyNumberFormat="1" applyFont="1" applyFill="1" applyBorder="1" applyAlignment="1" applyProtection="1">
      <alignment horizontal="center" vertical="top" wrapText="1" readingOrder="1"/>
      <protection locked="0"/>
    </xf>
    <xf numFmtId="0" fontId="2" fillId="0" borderId="3" xfId="0" applyFont="1" applyBorder="1" applyAlignment="1" applyProtection="1">
      <alignment horizontal="left" vertical="top" wrapText="1" readingOrder="1"/>
      <protection locked="0"/>
    </xf>
    <xf numFmtId="164" fontId="2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3" xfId="0" applyFont="1" applyBorder="1" applyAlignment="1" applyProtection="1">
      <alignment horizontal="center" vertical="top" wrapText="1" readingOrder="1"/>
      <protection locked="0"/>
    </xf>
    <xf numFmtId="0" fontId="2" fillId="0" borderId="4" xfId="0" applyFont="1" applyBorder="1" applyAlignment="1" applyProtection="1">
      <alignment horizontal="center" vertical="top" wrapText="1" readingOrder="1"/>
      <protection locked="0"/>
    </xf>
    <xf numFmtId="0" fontId="2" fillId="2" borderId="0" xfId="0" applyFont="1" applyFill="1" applyAlignment="1" applyProtection="1">
      <alignment vertical="top" wrapText="1" readingOrder="1"/>
      <protection locked="0"/>
    </xf>
    <xf numFmtId="0" fontId="2" fillId="2" borderId="0" xfId="0" applyFont="1" applyFill="1" applyAlignment="1" applyProtection="1">
      <alignment horizontal="left" vertical="top" wrapText="1" readingOrder="1"/>
      <protection locked="0"/>
    </xf>
    <xf numFmtId="164" fontId="2" fillId="2" borderId="0" xfId="0" applyNumberFormat="1" applyFont="1" applyFill="1" applyAlignment="1" applyProtection="1">
      <alignment horizontal="right" vertical="top" wrapText="1" readingOrder="1"/>
      <protection locked="0"/>
    </xf>
    <xf numFmtId="0" fontId="2" fillId="2" borderId="0" xfId="0" applyFont="1" applyFill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0" fontId="1" fillId="6" borderId="1" xfId="0" applyFont="1" applyFill="1" applyBorder="1" applyAlignment="1" applyProtection="1">
      <alignment horizontal="right"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0" fontId="2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8" borderId="1" xfId="0" applyFont="1" applyFill="1" applyBorder="1" applyAlignment="1" applyProtection="1">
      <alignment vertical="top" wrapText="1" readingOrder="1"/>
      <protection locked="0"/>
    </xf>
    <xf numFmtId="164" fontId="1" fillId="8" borderId="1" xfId="0" applyNumberFormat="1" applyFont="1" applyFill="1" applyBorder="1" applyAlignment="1">
      <alignment horizontal="right" vertical="top" wrapText="1" readingOrder="1"/>
    </xf>
    <xf numFmtId="0" fontId="1" fillId="2" borderId="0" xfId="0" applyFont="1" applyFill="1" applyAlignment="1">
      <alignment horizontal="center" wrapText="1"/>
    </xf>
    <xf numFmtId="0" fontId="1" fillId="0" borderId="7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top" wrapText="1" readingOrder="1"/>
      <protection locked="0"/>
    </xf>
    <xf numFmtId="0" fontId="2" fillId="3" borderId="11" xfId="0" applyFont="1" applyFill="1" applyBorder="1" applyAlignment="1" applyProtection="1">
      <alignment horizontal="center" vertical="top" wrapText="1" readingOrder="1"/>
      <protection locked="0"/>
    </xf>
    <xf numFmtId="0" fontId="2" fillId="3" borderId="13" xfId="0" applyFont="1" applyFill="1" applyBorder="1" applyAlignment="1" applyProtection="1">
      <alignment horizontal="center" vertical="top" wrapText="1" readingOrder="1"/>
      <protection locked="0"/>
    </xf>
    <xf numFmtId="0" fontId="2" fillId="0" borderId="14" xfId="0" applyFont="1" applyBorder="1" applyAlignment="1" applyProtection="1">
      <alignment horizontal="left" vertical="top" wrapText="1" readingOrder="1"/>
      <protection locked="0"/>
    </xf>
    <xf numFmtId="0" fontId="2" fillId="0" borderId="15" xfId="0" applyFont="1" applyBorder="1" applyAlignment="1" applyProtection="1">
      <alignment horizontal="left" vertical="top" wrapText="1" readingOrder="1"/>
      <protection locked="0"/>
    </xf>
    <xf numFmtId="0" fontId="2" fillId="0" borderId="16" xfId="0" applyFont="1" applyBorder="1" applyAlignment="1" applyProtection="1">
      <alignment horizontal="left" vertical="top" wrapText="1" readingOrder="1"/>
      <protection locked="0"/>
    </xf>
    <xf numFmtId="0" fontId="2" fillId="0" borderId="17" xfId="0" applyFont="1" applyBorder="1" applyAlignment="1" applyProtection="1">
      <alignment horizontal="left" vertical="top" wrapText="1" readingOrder="1"/>
      <protection locked="0"/>
    </xf>
    <xf numFmtId="0" fontId="2" fillId="0" borderId="18" xfId="0" applyFont="1" applyBorder="1" applyAlignment="1" applyProtection="1">
      <alignment horizontal="left" vertical="top" wrapText="1" readingOrder="1"/>
      <protection locked="0"/>
    </xf>
    <xf numFmtId="0" fontId="2" fillId="0" borderId="19" xfId="0" applyFont="1" applyBorder="1" applyAlignment="1" applyProtection="1">
      <alignment horizontal="left" vertical="top" wrapText="1" readingOrder="1"/>
      <protection locked="0"/>
    </xf>
    <xf numFmtId="0" fontId="2" fillId="5" borderId="10" xfId="0" applyFont="1" applyFill="1" applyBorder="1" applyAlignment="1" applyProtection="1">
      <alignment horizontal="left" vertical="top" wrapText="1" readingOrder="1"/>
      <protection locked="0"/>
    </xf>
    <xf numFmtId="0" fontId="2" fillId="5" borderId="11" xfId="0" applyFont="1" applyFill="1" applyBorder="1" applyAlignment="1" applyProtection="1">
      <alignment horizontal="left" vertical="top" wrapText="1" readingOrder="1"/>
      <protection locked="0"/>
    </xf>
    <xf numFmtId="0" fontId="2" fillId="5" borderId="12" xfId="0" applyFont="1" applyFill="1" applyBorder="1" applyAlignment="1" applyProtection="1">
      <alignment horizontal="left" vertical="top" wrapText="1" readingOrder="1"/>
      <protection locked="0"/>
    </xf>
    <xf numFmtId="0" fontId="2" fillId="5" borderId="10" xfId="0" applyFont="1" applyFill="1" applyBorder="1" applyAlignment="1" applyProtection="1">
      <alignment horizontal="center" vertical="top" wrapText="1" readingOrder="1"/>
      <protection locked="0"/>
    </xf>
    <xf numFmtId="0" fontId="2" fillId="5" borderId="11" xfId="0" applyFont="1" applyFill="1" applyBorder="1" applyAlignment="1" applyProtection="1">
      <alignment horizontal="center" vertical="top" wrapText="1" readingOrder="1"/>
      <protection locked="0"/>
    </xf>
    <xf numFmtId="0" fontId="2" fillId="5" borderId="13" xfId="0" applyFont="1" applyFill="1" applyBorder="1" applyAlignment="1" applyProtection="1">
      <alignment horizontal="center" vertical="top" wrapText="1" readingOrder="1"/>
      <protection locked="0"/>
    </xf>
    <xf numFmtId="0" fontId="2" fillId="4" borderId="10" xfId="0" applyFont="1" applyFill="1" applyBorder="1" applyAlignment="1" applyProtection="1">
      <alignment horizontal="left" vertical="top" wrapText="1" readingOrder="1"/>
      <protection locked="0"/>
    </xf>
    <xf numFmtId="0" fontId="2" fillId="4" borderId="11" xfId="0" applyFont="1" applyFill="1" applyBorder="1" applyAlignment="1" applyProtection="1">
      <alignment horizontal="left" vertical="top" wrapText="1" readingOrder="1"/>
      <protection locked="0"/>
    </xf>
    <xf numFmtId="0" fontId="2" fillId="4" borderId="12" xfId="0" applyFont="1" applyFill="1" applyBorder="1" applyAlignment="1" applyProtection="1">
      <alignment horizontal="left" vertical="top" wrapText="1" readingOrder="1"/>
      <protection locked="0"/>
    </xf>
    <xf numFmtId="0" fontId="2" fillId="3" borderId="10" xfId="0" applyFont="1" applyFill="1" applyBorder="1" applyAlignment="1" applyProtection="1">
      <alignment horizontal="left" vertical="top" wrapText="1" readingOrder="1"/>
      <protection locked="0"/>
    </xf>
    <xf numFmtId="0" fontId="2" fillId="3" borderId="11" xfId="0" applyFont="1" applyFill="1" applyBorder="1" applyAlignment="1" applyProtection="1">
      <alignment horizontal="left" vertical="top" wrapText="1" readingOrder="1"/>
      <protection locked="0"/>
    </xf>
    <xf numFmtId="0" fontId="2" fillId="3" borderId="12" xfId="0" applyFont="1" applyFill="1" applyBorder="1" applyAlignment="1" applyProtection="1">
      <alignment horizontal="left" vertical="top" wrapText="1" readingOrder="1"/>
      <protection locked="0"/>
    </xf>
    <xf numFmtId="0" fontId="2" fillId="4" borderId="14" xfId="0" applyFont="1" applyFill="1" applyBorder="1" applyAlignment="1" applyProtection="1">
      <alignment horizontal="left" vertical="top" wrapText="1" readingOrder="1"/>
      <protection locked="0"/>
    </xf>
    <xf numFmtId="0" fontId="2" fillId="4" borderId="15" xfId="0" applyFont="1" applyFill="1" applyBorder="1" applyAlignment="1" applyProtection="1">
      <alignment horizontal="left" vertical="top" wrapText="1" readingOrder="1"/>
      <protection locked="0"/>
    </xf>
    <xf numFmtId="0" fontId="2" fillId="4" borderId="16" xfId="0" applyFont="1" applyFill="1" applyBorder="1" applyAlignment="1" applyProtection="1">
      <alignment horizontal="left" vertical="top" wrapText="1" readingOrder="1"/>
      <protection locked="0"/>
    </xf>
    <xf numFmtId="0" fontId="2" fillId="4" borderId="20" xfId="0" applyFont="1" applyFill="1" applyBorder="1" applyAlignment="1" applyProtection="1">
      <alignment horizontal="left" vertical="top" wrapText="1" readingOrder="1"/>
      <protection locked="0"/>
    </xf>
    <xf numFmtId="0" fontId="2" fillId="4" borderId="21" xfId="0" applyFont="1" applyFill="1" applyBorder="1" applyAlignment="1" applyProtection="1">
      <alignment horizontal="left" vertical="top" wrapText="1" readingOrder="1"/>
      <protection locked="0"/>
    </xf>
    <xf numFmtId="0" fontId="2" fillId="4" borderId="22" xfId="0" applyFont="1" applyFill="1" applyBorder="1" applyAlignment="1" applyProtection="1">
      <alignment horizontal="left" vertical="top" wrapText="1" readingOrder="1"/>
      <protection locked="0"/>
    </xf>
    <xf numFmtId="0" fontId="2" fillId="4" borderId="23" xfId="0" applyFont="1" applyFill="1" applyBorder="1" applyAlignment="1" applyProtection="1">
      <alignment horizontal="left" vertical="top" wrapText="1" readingOrder="1"/>
      <protection locked="0"/>
    </xf>
    <xf numFmtId="0" fontId="2" fillId="4" borderId="0" xfId="0" applyFont="1" applyFill="1" applyBorder="1" applyAlignment="1" applyProtection="1">
      <alignment horizontal="left" vertical="top" wrapText="1" readingOrder="1"/>
      <protection locked="0"/>
    </xf>
    <xf numFmtId="0" fontId="2" fillId="4" borderId="24" xfId="0" applyFont="1" applyFill="1" applyBorder="1" applyAlignment="1" applyProtection="1">
      <alignment horizontal="left" vertical="top" wrapText="1" readingOrder="1"/>
      <protection locked="0"/>
    </xf>
    <xf numFmtId="0" fontId="2" fillId="4" borderId="25" xfId="0" applyFont="1" applyFill="1" applyBorder="1" applyAlignment="1" applyProtection="1">
      <alignment horizontal="left" vertical="top" wrapText="1" readingOrder="1"/>
      <protection locked="0"/>
    </xf>
    <xf numFmtId="0" fontId="2" fillId="4" borderId="26" xfId="0" applyFont="1" applyFill="1" applyBorder="1" applyAlignment="1" applyProtection="1">
      <alignment horizontal="left" vertical="top" wrapText="1" readingOrder="1"/>
      <protection locked="0"/>
    </xf>
    <xf numFmtId="0" fontId="2" fillId="4" borderId="27" xfId="0" applyFont="1" applyFill="1" applyBorder="1" applyAlignment="1" applyProtection="1">
      <alignment horizontal="left" vertical="top" wrapText="1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0E4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42"/>
  <sheetViews>
    <sheetView showZeros="0" tabSelected="1" workbookViewId="0">
      <selection activeCell="I728" sqref="I728"/>
    </sheetView>
  </sheetViews>
  <sheetFormatPr defaultRowHeight="15" x14ac:dyDescent="0.25"/>
  <cols>
    <col min="1" max="1" width="11.85546875" style="4" customWidth="1"/>
    <col min="2" max="2" width="27.85546875" style="4" customWidth="1"/>
    <col min="3" max="3" width="25" style="4" customWidth="1"/>
    <col min="4" max="4" width="10.85546875" style="4" customWidth="1"/>
    <col min="5" max="5" width="15.42578125" style="4" customWidth="1"/>
    <col min="6" max="6" width="12.85546875" style="4" customWidth="1"/>
    <col min="7" max="7" width="11.7109375" style="4" customWidth="1"/>
    <col min="8" max="8" width="11" style="4" customWidth="1"/>
    <col min="9" max="9" width="10.85546875" style="4" customWidth="1"/>
    <col min="10" max="10" width="38.5703125" style="4" customWidth="1"/>
    <col min="11" max="11" width="7.42578125" style="4" customWidth="1"/>
    <col min="12" max="14" width="11.42578125" style="5" customWidth="1"/>
    <col min="15" max="16384" width="9.140625" style="2"/>
  </cols>
  <sheetData>
    <row r="1" spans="1:14" x14ac:dyDescent="0.25">
      <c r="J1" s="4" t="s">
        <v>1177</v>
      </c>
    </row>
    <row r="2" spans="1:14" x14ac:dyDescent="0.25">
      <c r="J2" s="4" t="s">
        <v>1178</v>
      </c>
    </row>
    <row r="3" spans="1:14" x14ac:dyDescent="0.25">
      <c r="J3" s="4" t="s">
        <v>1179</v>
      </c>
    </row>
    <row r="4" spans="1:14" ht="30" x14ac:dyDescent="0.25">
      <c r="J4" s="4" t="s">
        <v>1180</v>
      </c>
    </row>
    <row r="5" spans="1:14" x14ac:dyDescent="0.25">
      <c r="J5" s="4" t="s">
        <v>1182</v>
      </c>
    </row>
    <row r="7" spans="1:14" s="1" customFormat="1" ht="14.25" x14ac:dyDescent="0.2">
      <c r="A7" s="60" t="s">
        <v>0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</row>
    <row r="10" spans="1:14" s="54" customFormat="1" ht="24.75" customHeight="1" x14ac:dyDescent="0.25">
      <c r="A10" s="61" t="s">
        <v>1</v>
      </c>
      <c r="B10" s="64" t="s">
        <v>2</v>
      </c>
      <c r="C10" s="64" t="s">
        <v>3</v>
      </c>
      <c r="D10" s="64" t="s">
        <v>4</v>
      </c>
      <c r="E10" s="64" t="s">
        <v>5</v>
      </c>
      <c r="F10" s="64" t="s">
        <v>6</v>
      </c>
      <c r="G10" s="64" t="s">
        <v>7</v>
      </c>
      <c r="H10" s="64" t="s">
        <v>8</v>
      </c>
      <c r="I10" s="64" t="s">
        <v>9</v>
      </c>
      <c r="J10" s="64" t="s">
        <v>10</v>
      </c>
      <c r="K10" s="67"/>
      <c r="L10" s="67"/>
      <c r="M10" s="67"/>
      <c r="N10" s="68"/>
    </row>
    <row r="11" spans="1:14" s="54" customFormat="1" x14ac:dyDescent="0.25">
      <c r="A11" s="62"/>
      <c r="B11" s="65"/>
      <c r="C11" s="65"/>
      <c r="D11" s="65"/>
      <c r="E11" s="65"/>
      <c r="F11" s="65"/>
      <c r="G11" s="65"/>
      <c r="H11" s="65"/>
      <c r="I11" s="65"/>
      <c r="J11" s="65" t="s">
        <v>11</v>
      </c>
      <c r="K11" s="65" t="s">
        <v>12</v>
      </c>
      <c r="L11" s="65" t="s">
        <v>13</v>
      </c>
      <c r="M11" s="69"/>
      <c r="N11" s="70"/>
    </row>
    <row r="12" spans="1:14" s="54" customFormat="1" ht="15.75" thickBot="1" x14ac:dyDescent="0.3">
      <c r="A12" s="63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55" t="s">
        <v>14</v>
      </c>
      <c r="M12" s="55" t="s">
        <v>15</v>
      </c>
      <c r="N12" s="56" t="s">
        <v>16</v>
      </c>
    </row>
    <row r="13" spans="1:14" ht="30.75" thickBot="1" x14ac:dyDescent="0.3">
      <c r="A13" s="6" t="s">
        <v>17</v>
      </c>
      <c r="B13" s="7" t="s">
        <v>18</v>
      </c>
      <c r="C13" s="80" t="s">
        <v>19</v>
      </c>
      <c r="D13" s="81"/>
      <c r="E13" s="82"/>
      <c r="F13" s="8">
        <f>SUM(F14:F14)</f>
        <v>1594.3999999999999</v>
      </c>
      <c r="G13" s="8">
        <f>SUM(G14:G14)</f>
        <v>1565.3</v>
      </c>
      <c r="H13" s="8">
        <f>SUM(H14:H14)</f>
        <v>978.3</v>
      </c>
      <c r="I13" s="8">
        <f>SUM(I14:I14)</f>
        <v>1049</v>
      </c>
      <c r="J13" s="83"/>
      <c r="K13" s="84"/>
      <c r="L13" s="84"/>
      <c r="M13" s="84"/>
      <c r="N13" s="85"/>
    </row>
    <row r="14" spans="1:14" ht="45.75" thickBot="1" x14ac:dyDescent="0.3">
      <c r="A14" s="9" t="s">
        <v>21</v>
      </c>
      <c r="B14" s="86" t="s">
        <v>22</v>
      </c>
      <c r="C14" s="87"/>
      <c r="D14" s="87"/>
      <c r="E14" s="88"/>
      <c r="F14" s="10">
        <f>F15+F33+F41+F47</f>
        <v>1594.3999999999999</v>
      </c>
      <c r="G14" s="10">
        <f>G15+G33+G41+G47</f>
        <v>1565.3</v>
      </c>
      <c r="H14" s="10">
        <f>H15+H33+H41+H47</f>
        <v>978.3</v>
      </c>
      <c r="I14" s="10">
        <f>I15+I33+I41+I47</f>
        <v>1049</v>
      </c>
      <c r="J14" s="11" t="s">
        <v>24</v>
      </c>
      <c r="K14" s="12" t="s">
        <v>25</v>
      </c>
      <c r="L14" s="12">
        <v>91</v>
      </c>
      <c r="M14" s="12">
        <v>89</v>
      </c>
      <c r="N14" s="13">
        <v>90</v>
      </c>
    </row>
    <row r="15" spans="1:14" ht="29.25" customHeight="1" thickBot="1" x14ac:dyDescent="0.3">
      <c r="A15" s="14" t="s">
        <v>26</v>
      </c>
      <c r="B15" s="89" t="s">
        <v>27</v>
      </c>
      <c r="C15" s="90"/>
      <c r="D15" s="90"/>
      <c r="E15" s="91"/>
      <c r="F15" s="15">
        <f>F16+F19+F30+F32</f>
        <v>361.8</v>
      </c>
      <c r="G15" s="15">
        <f>G16+G19+G30+G32</f>
        <v>361.8</v>
      </c>
      <c r="H15" s="15">
        <f>H16+H19+H30+H32</f>
        <v>290.3</v>
      </c>
      <c r="I15" s="15">
        <f>I16+I19+I30+I32</f>
        <v>275</v>
      </c>
      <c r="J15" s="71"/>
      <c r="K15" s="72"/>
      <c r="L15" s="72"/>
      <c r="M15" s="72"/>
      <c r="N15" s="73"/>
    </row>
    <row r="16" spans="1:14" x14ac:dyDescent="0.25">
      <c r="A16" s="74" t="s">
        <v>29</v>
      </c>
      <c r="B16" s="77" t="s">
        <v>30</v>
      </c>
      <c r="C16" s="77" t="s">
        <v>28</v>
      </c>
      <c r="D16" s="16"/>
      <c r="E16" s="16"/>
      <c r="F16" s="17">
        <f>SUM(F17:F18)</f>
        <v>100</v>
      </c>
      <c r="G16" s="17">
        <f>SUM(G17:G18)</f>
        <v>100</v>
      </c>
      <c r="H16" s="17">
        <f>SUM(H17:H18)</f>
        <v>65.3</v>
      </c>
      <c r="I16" s="17">
        <f>SUM(I17:I18)</f>
        <v>0</v>
      </c>
      <c r="J16" s="16" t="s">
        <v>31</v>
      </c>
      <c r="K16" s="18" t="s">
        <v>20</v>
      </c>
      <c r="L16" s="18">
        <v>80</v>
      </c>
      <c r="M16" s="18">
        <v>100</v>
      </c>
      <c r="N16" s="19"/>
    </row>
    <row r="17" spans="1:14" ht="78.75" customHeight="1" x14ac:dyDescent="0.25">
      <c r="A17" s="75"/>
      <c r="B17" s="78"/>
      <c r="C17" s="78"/>
      <c r="D17" s="20" t="s">
        <v>32</v>
      </c>
      <c r="E17" s="20"/>
      <c r="F17" s="21">
        <v>34.700000000000003</v>
      </c>
      <c r="G17" s="21">
        <v>34.700000000000003</v>
      </c>
      <c r="H17" s="21">
        <v>0</v>
      </c>
      <c r="I17" s="21">
        <v>0</v>
      </c>
      <c r="J17" s="20" t="s">
        <v>33</v>
      </c>
      <c r="K17" s="22" t="s">
        <v>25</v>
      </c>
      <c r="L17" s="22">
        <v>1</v>
      </c>
      <c r="M17" s="22"/>
      <c r="N17" s="23"/>
    </row>
    <row r="18" spans="1:14" ht="15.75" thickBot="1" x14ac:dyDescent="0.3">
      <c r="A18" s="76"/>
      <c r="B18" s="79"/>
      <c r="C18" s="79"/>
      <c r="D18" s="20" t="s">
        <v>34</v>
      </c>
      <c r="E18" s="20"/>
      <c r="F18" s="21">
        <v>65.3</v>
      </c>
      <c r="G18" s="21">
        <v>65.3</v>
      </c>
      <c r="H18" s="21">
        <v>65.3</v>
      </c>
      <c r="I18" s="21"/>
      <c r="J18" s="20"/>
      <c r="K18" s="22"/>
      <c r="L18" s="22"/>
      <c r="M18" s="22"/>
      <c r="N18" s="23"/>
    </row>
    <row r="19" spans="1:14" x14ac:dyDescent="0.25">
      <c r="A19" s="74" t="s">
        <v>35</v>
      </c>
      <c r="B19" s="77" t="s">
        <v>36</v>
      </c>
      <c r="C19" s="77" t="s">
        <v>28</v>
      </c>
      <c r="D19" s="16"/>
      <c r="E19" s="16"/>
      <c r="F19" s="17">
        <f>SUM(F20:F29)</f>
        <v>206.8</v>
      </c>
      <c r="G19" s="17">
        <f>SUM(G20:G29)</f>
        <v>206.8</v>
      </c>
      <c r="H19" s="17">
        <f>SUM(H20:H29)</f>
        <v>170</v>
      </c>
      <c r="I19" s="17">
        <f>SUM(I20:I29)</f>
        <v>250</v>
      </c>
      <c r="J19" s="16" t="s">
        <v>37</v>
      </c>
      <c r="K19" s="18" t="s">
        <v>25</v>
      </c>
      <c r="L19" s="18">
        <v>1</v>
      </c>
      <c r="M19" s="18">
        <v>8</v>
      </c>
      <c r="N19" s="19">
        <v>8</v>
      </c>
    </row>
    <row r="20" spans="1:14" ht="46.5" customHeight="1" x14ac:dyDescent="0.25">
      <c r="A20" s="75"/>
      <c r="B20" s="78"/>
      <c r="C20" s="78"/>
      <c r="D20" s="20" t="s">
        <v>32</v>
      </c>
      <c r="E20" s="20"/>
      <c r="F20" s="21">
        <v>56.8</v>
      </c>
      <c r="G20" s="21">
        <v>56.8</v>
      </c>
      <c r="H20" s="21">
        <v>0</v>
      </c>
      <c r="I20" s="21">
        <v>0</v>
      </c>
      <c r="J20" s="20" t="s">
        <v>38</v>
      </c>
      <c r="K20" s="22" t="s">
        <v>25</v>
      </c>
      <c r="L20" s="22">
        <v>1</v>
      </c>
      <c r="M20" s="22">
        <v>0</v>
      </c>
      <c r="N20" s="23">
        <v>0</v>
      </c>
    </row>
    <row r="21" spans="1:14" ht="30" x14ac:dyDescent="0.25">
      <c r="A21" s="75"/>
      <c r="B21" s="78"/>
      <c r="C21" s="78"/>
      <c r="D21" s="20" t="s">
        <v>34</v>
      </c>
      <c r="E21" s="20"/>
      <c r="F21" s="21">
        <v>150</v>
      </c>
      <c r="G21" s="21">
        <v>150</v>
      </c>
      <c r="H21" s="21">
        <v>170</v>
      </c>
      <c r="I21" s="21">
        <v>250</v>
      </c>
      <c r="J21" s="20" t="s">
        <v>39</v>
      </c>
      <c r="K21" s="22" t="s">
        <v>25</v>
      </c>
      <c r="L21" s="22">
        <v>1</v>
      </c>
      <c r="M21" s="22">
        <v>0</v>
      </c>
      <c r="N21" s="23">
        <v>0</v>
      </c>
    </row>
    <row r="22" spans="1:14" ht="45" x14ac:dyDescent="0.25">
      <c r="A22" s="75"/>
      <c r="B22" s="78"/>
      <c r="C22" s="78"/>
      <c r="D22" s="20"/>
      <c r="E22" s="20"/>
      <c r="F22" s="21">
        <v>0</v>
      </c>
      <c r="G22" s="21">
        <v>0</v>
      </c>
      <c r="H22" s="21">
        <v>0</v>
      </c>
      <c r="I22" s="21">
        <v>0</v>
      </c>
      <c r="J22" s="20" t="s">
        <v>40</v>
      </c>
      <c r="K22" s="22" t="s">
        <v>25</v>
      </c>
      <c r="L22" s="22">
        <v>1</v>
      </c>
      <c r="M22" s="22">
        <v>0</v>
      </c>
      <c r="N22" s="23">
        <v>0</v>
      </c>
    </row>
    <row r="23" spans="1:14" ht="30" x14ac:dyDescent="0.25">
      <c r="A23" s="75"/>
      <c r="B23" s="78"/>
      <c r="C23" s="78"/>
      <c r="D23" s="20"/>
      <c r="E23" s="20"/>
      <c r="F23" s="21">
        <v>0</v>
      </c>
      <c r="G23" s="21">
        <v>0</v>
      </c>
      <c r="H23" s="21">
        <v>0</v>
      </c>
      <c r="I23" s="21">
        <v>0</v>
      </c>
      <c r="J23" s="20" t="s">
        <v>41</v>
      </c>
      <c r="K23" s="22" t="s">
        <v>25</v>
      </c>
      <c r="L23" s="22">
        <v>1</v>
      </c>
      <c r="M23" s="22">
        <v>0</v>
      </c>
      <c r="N23" s="23">
        <v>0</v>
      </c>
    </row>
    <row r="24" spans="1:14" ht="45" x14ac:dyDescent="0.25">
      <c r="A24" s="75"/>
      <c r="B24" s="78"/>
      <c r="C24" s="78"/>
      <c r="D24" s="20"/>
      <c r="E24" s="20"/>
      <c r="F24" s="21">
        <v>0</v>
      </c>
      <c r="G24" s="21">
        <v>0</v>
      </c>
      <c r="H24" s="21">
        <v>0</v>
      </c>
      <c r="I24" s="21">
        <v>0</v>
      </c>
      <c r="J24" s="20" t="s">
        <v>42</v>
      </c>
      <c r="K24" s="22" t="s">
        <v>25</v>
      </c>
      <c r="L24" s="22">
        <v>1</v>
      </c>
      <c r="M24" s="22">
        <v>0</v>
      </c>
      <c r="N24" s="23">
        <v>0</v>
      </c>
    </row>
    <row r="25" spans="1:14" ht="45" x14ac:dyDescent="0.25">
      <c r="A25" s="75"/>
      <c r="B25" s="78"/>
      <c r="C25" s="78"/>
      <c r="D25" s="20"/>
      <c r="E25" s="20"/>
      <c r="F25" s="21">
        <v>0</v>
      </c>
      <c r="G25" s="21">
        <v>0</v>
      </c>
      <c r="H25" s="21">
        <v>0</v>
      </c>
      <c r="I25" s="21">
        <v>0</v>
      </c>
      <c r="J25" s="20" t="s">
        <v>43</v>
      </c>
      <c r="K25" s="22" t="s">
        <v>25</v>
      </c>
      <c r="L25" s="22">
        <v>1</v>
      </c>
      <c r="M25" s="22">
        <v>0</v>
      </c>
      <c r="N25" s="23">
        <v>0</v>
      </c>
    </row>
    <row r="26" spans="1:14" ht="45" x14ac:dyDescent="0.25">
      <c r="A26" s="75"/>
      <c r="B26" s="78"/>
      <c r="C26" s="78"/>
      <c r="D26" s="20"/>
      <c r="E26" s="20"/>
      <c r="F26" s="21">
        <v>0</v>
      </c>
      <c r="G26" s="21">
        <v>0</v>
      </c>
      <c r="H26" s="21">
        <v>0</v>
      </c>
      <c r="I26" s="21">
        <v>0</v>
      </c>
      <c r="J26" s="20" t="s">
        <v>44</v>
      </c>
      <c r="K26" s="22" t="s">
        <v>25</v>
      </c>
      <c r="L26" s="22">
        <v>1</v>
      </c>
      <c r="M26" s="22">
        <v>0</v>
      </c>
      <c r="N26" s="23">
        <v>0</v>
      </c>
    </row>
    <row r="27" spans="1:14" ht="30" x14ac:dyDescent="0.25">
      <c r="A27" s="75"/>
      <c r="B27" s="78"/>
      <c r="C27" s="78"/>
      <c r="D27" s="20"/>
      <c r="E27" s="20"/>
      <c r="F27" s="21">
        <v>0</v>
      </c>
      <c r="G27" s="21">
        <v>0</v>
      </c>
      <c r="H27" s="21">
        <v>0</v>
      </c>
      <c r="I27" s="21">
        <v>0</v>
      </c>
      <c r="J27" s="20" t="s">
        <v>45</v>
      </c>
      <c r="K27" s="22" t="s">
        <v>25</v>
      </c>
      <c r="L27" s="22">
        <v>1</v>
      </c>
      <c r="M27" s="22">
        <v>0</v>
      </c>
      <c r="N27" s="23">
        <v>0</v>
      </c>
    </row>
    <row r="28" spans="1:14" ht="45" x14ac:dyDescent="0.25">
      <c r="A28" s="75"/>
      <c r="B28" s="78"/>
      <c r="C28" s="78"/>
      <c r="D28" s="20"/>
      <c r="E28" s="20"/>
      <c r="F28" s="21">
        <v>0</v>
      </c>
      <c r="G28" s="21">
        <v>0</v>
      </c>
      <c r="H28" s="21">
        <v>0</v>
      </c>
      <c r="I28" s="21">
        <v>0</v>
      </c>
      <c r="J28" s="20" t="s">
        <v>46</v>
      </c>
      <c r="K28" s="22" t="s">
        <v>25</v>
      </c>
      <c r="L28" s="22">
        <v>1</v>
      </c>
      <c r="M28" s="22">
        <v>0</v>
      </c>
      <c r="N28" s="23">
        <v>0</v>
      </c>
    </row>
    <row r="29" spans="1:14" ht="30.75" thickBot="1" x14ac:dyDescent="0.3">
      <c r="A29" s="76"/>
      <c r="B29" s="79"/>
      <c r="C29" s="79"/>
      <c r="D29" s="20"/>
      <c r="E29" s="20"/>
      <c r="F29" s="21">
        <v>0</v>
      </c>
      <c r="G29" s="21">
        <v>0</v>
      </c>
      <c r="H29" s="21">
        <v>0</v>
      </c>
      <c r="I29" s="21">
        <v>0</v>
      </c>
      <c r="J29" s="20" t="s">
        <v>47</v>
      </c>
      <c r="K29" s="22" t="s">
        <v>25</v>
      </c>
      <c r="L29" s="22">
        <v>1</v>
      </c>
      <c r="M29" s="22">
        <v>0</v>
      </c>
      <c r="N29" s="23">
        <v>0</v>
      </c>
    </row>
    <row r="30" spans="1:14" ht="40.5" customHeight="1" x14ac:dyDescent="0.25">
      <c r="A30" s="74" t="s">
        <v>48</v>
      </c>
      <c r="B30" s="77" t="s">
        <v>49</v>
      </c>
      <c r="C30" s="77" t="s">
        <v>23</v>
      </c>
      <c r="D30" s="16" t="s">
        <v>34</v>
      </c>
      <c r="E30" s="16"/>
      <c r="F30" s="17">
        <f>SUM(F31:F31)+5</f>
        <v>5</v>
      </c>
      <c r="G30" s="17">
        <f>SUM(G31:G31)+5</f>
        <v>5</v>
      </c>
      <c r="H30" s="17">
        <f>SUM(H31:H31)+5</f>
        <v>5</v>
      </c>
      <c r="I30" s="17">
        <f>SUM(I31:I31)+5</f>
        <v>5</v>
      </c>
      <c r="J30" s="16" t="s">
        <v>50</v>
      </c>
      <c r="K30" s="18" t="s">
        <v>20</v>
      </c>
      <c r="L30" s="18">
        <v>100</v>
      </c>
      <c r="M30" s="18">
        <v>100</v>
      </c>
      <c r="N30" s="19">
        <v>100</v>
      </c>
    </row>
    <row r="31" spans="1:14" ht="15.75" thickBot="1" x14ac:dyDescent="0.3">
      <c r="A31" s="76"/>
      <c r="B31" s="79"/>
      <c r="C31" s="79"/>
      <c r="D31" s="20"/>
      <c r="E31" s="20"/>
      <c r="F31" s="21">
        <v>0</v>
      </c>
      <c r="G31" s="21">
        <v>0</v>
      </c>
      <c r="H31" s="21">
        <v>0</v>
      </c>
      <c r="I31" s="21">
        <v>0</v>
      </c>
      <c r="J31" s="20" t="s">
        <v>51</v>
      </c>
      <c r="K31" s="22" t="s">
        <v>25</v>
      </c>
      <c r="L31" s="22">
        <v>1</v>
      </c>
      <c r="M31" s="22">
        <v>1</v>
      </c>
      <c r="N31" s="23">
        <v>1</v>
      </c>
    </row>
    <row r="32" spans="1:14" ht="45.75" thickBot="1" x14ac:dyDescent="0.3">
      <c r="A32" s="24" t="s">
        <v>52</v>
      </c>
      <c r="B32" s="25" t="s">
        <v>53</v>
      </c>
      <c r="C32" s="16" t="s">
        <v>23</v>
      </c>
      <c r="D32" s="16" t="s">
        <v>34</v>
      </c>
      <c r="E32" s="16"/>
      <c r="F32" s="26">
        <v>50</v>
      </c>
      <c r="G32" s="26">
        <v>50</v>
      </c>
      <c r="H32" s="26">
        <v>50</v>
      </c>
      <c r="I32" s="26">
        <v>20</v>
      </c>
      <c r="J32" s="16" t="s">
        <v>54</v>
      </c>
      <c r="K32" s="18" t="s">
        <v>25</v>
      </c>
      <c r="L32" s="18">
        <v>90</v>
      </c>
      <c r="M32" s="18">
        <v>80</v>
      </c>
      <c r="N32" s="19">
        <v>50</v>
      </c>
    </row>
    <row r="33" spans="1:14" ht="27" customHeight="1" thickBot="1" x14ac:dyDescent="0.3">
      <c r="A33" s="14" t="s">
        <v>55</v>
      </c>
      <c r="B33" s="89" t="s">
        <v>56</v>
      </c>
      <c r="C33" s="90"/>
      <c r="D33" s="90"/>
      <c r="E33" s="91"/>
      <c r="F33" s="15">
        <f>F34+F37+F38</f>
        <v>1076.5999999999999</v>
      </c>
      <c r="G33" s="15">
        <f>G34+G37+G38</f>
        <v>1047.5</v>
      </c>
      <c r="H33" s="15">
        <f>H34+H37+H38</f>
        <v>625</v>
      </c>
      <c r="I33" s="15">
        <f>I34+I37+I38</f>
        <v>711</v>
      </c>
      <c r="J33" s="71"/>
      <c r="K33" s="72"/>
      <c r="L33" s="72"/>
      <c r="M33" s="72"/>
      <c r="N33" s="73"/>
    </row>
    <row r="34" spans="1:14" ht="30" x14ac:dyDescent="0.25">
      <c r="A34" s="74" t="s">
        <v>57</v>
      </c>
      <c r="B34" s="77" t="s">
        <v>58</v>
      </c>
      <c r="C34" s="77" t="s">
        <v>19</v>
      </c>
      <c r="D34" s="16"/>
      <c r="E34" s="16"/>
      <c r="F34" s="17">
        <f>SUM(F35:F36)</f>
        <v>220</v>
      </c>
      <c r="G34" s="17">
        <f>SUM(G35:G36)</f>
        <v>220</v>
      </c>
      <c r="H34" s="17">
        <f>SUM(H35:H36)</f>
        <v>30</v>
      </c>
      <c r="I34" s="17">
        <f>SUM(I35:I36)</f>
        <v>30</v>
      </c>
      <c r="J34" s="16" t="s">
        <v>59</v>
      </c>
      <c r="K34" s="18" t="s">
        <v>25</v>
      </c>
      <c r="L34" s="18">
        <v>1</v>
      </c>
      <c r="M34" s="18">
        <v>1</v>
      </c>
      <c r="N34" s="19">
        <v>1</v>
      </c>
    </row>
    <row r="35" spans="1:14" ht="30" x14ac:dyDescent="0.25">
      <c r="A35" s="75"/>
      <c r="B35" s="78"/>
      <c r="C35" s="78"/>
      <c r="D35" s="20" t="s">
        <v>34</v>
      </c>
      <c r="E35" s="20"/>
      <c r="F35" s="21">
        <v>30</v>
      </c>
      <c r="G35" s="21">
        <v>30</v>
      </c>
      <c r="H35" s="21">
        <v>30</v>
      </c>
      <c r="I35" s="21">
        <v>30</v>
      </c>
      <c r="J35" s="20" t="s">
        <v>60</v>
      </c>
      <c r="K35" s="22" t="s">
        <v>20</v>
      </c>
      <c r="L35" s="22">
        <v>70</v>
      </c>
      <c r="M35" s="22">
        <v>100</v>
      </c>
      <c r="N35" s="23">
        <v>0</v>
      </c>
    </row>
    <row r="36" spans="1:14" ht="90.75" thickBot="1" x14ac:dyDescent="0.3">
      <c r="A36" s="76"/>
      <c r="B36" s="79"/>
      <c r="C36" s="79"/>
      <c r="D36" s="20" t="s">
        <v>32</v>
      </c>
      <c r="E36" s="20"/>
      <c r="F36" s="21">
        <v>190</v>
      </c>
      <c r="G36" s="21">
        <v>190</v>
      </c>
      <c r="H36" s="21">
        <v>0</v>
      </c>
      <c r="I36" s="21">
        <v>0</v>
      </c>
      <c r="J36" s="20" t="s">
        <v>61</v>
      </c>
      <c r="K36" s="22" t="s">
        <v>25</v>
      </c>
      <c r="L36" s="22">
        <v>1</v>
      </c>
      <c r="M36" s="22">
        <v>0</v>
      </c>
      <c r="N36" s="23">
        <v>0</v>
      </c>
    </row>
    <row r="37" spans="1:14" ht="90.75" thickBot="1" x14ac:dyDescent="0.3">
      <c r="A37" s="24" t="s">
        <v>62</v>
      </c>
      <c r="B37" s="25" t="s">
        <v>63</v>
      </c>
      <c r="C37" s="16" t="s">
        <v>19</v>
      </c>
      <c r="D37" s="16" t="s">
        <v>34</v>
      </c>
      <c r="E37" s="16"/>
      <c r="F37" s="26">
        <v>1</v>
      </c>
      <c r="G37" s="26">
        <v>1</v>
      </c>
      <c r="H37" s="26">
        <v>0</v>
      </c>
      <c r="I37" s="26">
        <v>1</v>
      </c>
      <c r="J37" s="16" t="s">
        <v>64</v>
      </c>
      <c r="K37" s="18" t="s">
        <v>25</v>
      </c>
      <c r="L37" s="18">
        <v>1</v>
      </c>
      <c r="M37" s="18"/>
      <c r="N37" s="19">
        <v>1</v>
      </c>
    </row>
    <row r="38" spans="1:14" ht="45" x14ac:dyDescent="0.25">
      <c r="A38" s="74" t="s">
        <v>65</v>
      </c>
      <c r="B38" s="77" t="s">
        <v>66</v>
      </c>
      <c r="C38" s="77" t="s">
        <v>19</v>
      </c>
      <c r="D38" s="16"/>
      <c r="E38" s="16"/>
      <c r="F38" s="17">
        <f>SUM(F39:F40)</f>
        <v>855.6</v>
      </c>
      <c r="G38" s="17">
        <f>SUM(G39:G40)</f>
        <v>826.5</v>
      </c>
      <c r="H38" s="17">
        <f>SUM(H39:H40)</f>
        <v>595</v>
      </c>
      <c r="I38" s="17">
        <f>SUM(I39:I40)</f>
        <v>680</v>
      </c>
      <c r="J38" s="16" t="s">
        <v>67</v>
      </c>
      <c r="K38" s="18" t="s">
        <v>25</v>
      </c>
      <c r="L38" s="18">
        <v>6</v>
      </c>
      <c r="M38" s="18">
        <v>3</v>
      </c>
      <c r="N38" s="19">
        <v>3</v>
      </c>
    </row>
    <row r="39" spans="1:14" ht="30" x14ac:dyDescent="0.25">
      <c r="A39" s="75"/>
      <c r="B39" s="78"/>
      <c r="C39" s="78"/>
      <c r="D39" s="20" t="s">
        <v>34</v>
      </c>
      <c r="E39" s="20"/>
      <c r="F39" s="21">
        <v>835</v>
      </c>
      <c r="G39" s="21">
        <v>805.9</v>
      </c>
      <c r="H39" s="21">
        <v>595</v>
      </c>
      <c r="I39" s="21">
        <v>680</v>
      </c>
      <c r="J39" s="20" t="s">
        <v>68</v>
      </c>
      <c r="K39" s="22" t="s">
        <v>25</v>
      </c>
      <c r="L39" s="22">
        <v>12</v>
      </c>
      <c r="M39" s="22">
        <v>8</v>
      </c>
      <c r="N39" s="23">
        <v>8</v>
      </c>
    </row>
    <row r="40" spans="1:14" ht="30.75" thickBot="1" x14ac:dyDescent="0.3">
      <c r="A40" s="76"/>
      <c r="B40" s="79"/>
      <c r="C40" s="79"/>
      <c r="D40" s="20" t="s">
        <v>32</v>
      </c>
      <c r="E40" s="20"/>
      <c r="F40" s="21">
        <v>20.6</v>
      </c>
      <c r="G40" s="21">
        <v>20.6</v>
      </c>
      <c r="H40" s="21">
        <v>0</v>
      </c>
      <c r="I40" s="21">
        <v>0</v>
      </c>
      <c r="J40" s="20" t="s">
        <v>69</v>
      </c>
      <c r="K40" s="22" t="s">
        <v>25</v>
      </c>
      <c r="L40" s="22">
        <v>20</v>
      </c>
      <c r="M40" s="22">
        <v>20</v>
      </c>
      <c r="N40" s="23">
        <v>20</v>
      </c>
    </row>
    <row r="41" spans="1:14" ht="26.25" customHeight="1" thickBot="1" x14ac:dyDescent="0.3">
      <c r="A41" s="14" t="s">
        <v>70</v>
      </c>
      <c r="B41" s="89" t="s">
        <v>71</v>
      </c>
      <c r="C41" s="90"/>
      <c r="D41" s="90"/>
      <c r="E41" s="91"/>
      <c r="F41" s="15">
        <f>F42+F46</f>
        <v>125.8</v>
      </c>
      <c r="G41" s="15">
        <f>G42+G46</f>
        <v>125.8</v>
      </c>
      <c r="H41" s="15">
        <f>H42+H46</f>
        <v>35</v>
      </c>
      <c r="I41" s="15">
        <f>I42+I46</f>
        <v>35</v>
      </c>
      <c r="J41" s="71"/>
      <c r="K41" s="72"/>
      <c r="L41" s="72"/>
      <c r="M41" s="72"/>
      <c r="N41" s="73"/>
    </row>
    <row r="42" spans="1:14" x14ac:dyDescent="0.25">
      <c r="A42" s="74" t="s">
        <v>72</v>
      </c>
      <c r="B42" s="77" t="s">
        <v>73</v>
      </c>
      <c r="C42" s="77" t="s">
        <v>19</v>
      </c>
      <c r="D42" s="16"/>
      <c r="E42" s="16"/>
      <c r="F42" s="17">
        <f>SUM(F43:F45)</f>
        <v>120.8</v>
      </c>
      <c r="G42" s="17">
        <f>SUM(G43:G45)</f>
        <v>120.8</v>
      </c>
      <c r="H42" s="17">
        <f>SUM(H43:H45)</f>
        <v>30</v>
      </c>
      <c r="I42" s="17">
        <f>SUM(I43:I45)</f>
        <v>30</v>
      </c>
      <c r="J42" s="16" t="s">
        <v>74</v>
      </c>
      <c r="K42" s="18" t="s">
        <v>25</v>
      </c>
      <c r="L42" s="18">
        <v>1</v>
      </c>
      <c r="M42" s="18">
        <v>1</v>
      </c>
      <c r="N42" s="19">
        <v>1</v>
      </c>
    </row>
    <row r="43" spans="1:14" ht="60" x14ac:dyDescent="0.25">
      <c r="A43" s="75"/>
      <c r="B43" s="78"/>
      <c r="C43" s="78"/>
      <c r="D43" s="20" t="s">
        <v>32</v>
      </c>
      <c r="E43" s="20"/>
      <c r="F43" s="21">
        <v>90.8</v>
      </c>
      <c r="G43" s="21">
        <v>90.8</v>
      </c>
      <c r="H43" s="21">
        <v>0</v>
      </c>
      <c r="I43" s="21">
        <v>0</v>
      </c>
      <c r="J43" s="20" t="s">
        <v>75</v>
      </c>
      <c r="K43" s="22" t="s">
        <v>25</v>
      </c>
      <c r="L43" s="22">
        <v>1</v>
      </c>
      <c r="M43" s="22"/>
      <c r="N43" s="23"/>
    </row>
    <row r="44" spans="1:14" ht="60" x14ac:dyDescent="0.25">
      <c r="A44" s="75"/>
      <c r="B44" s="78"/>
      <c r="C44" s="78"/>
      <c r="D44" s="20" t="s">
        <v>34</v>
      </c>
      <c r="E44" s="20"/>
      <c r="F44" s="21">
        <v>30</v>
      </c>
      <c r="G44" s="21">
        <v>30</v>
      </c>
      <c r="H44" s="21">
        <v>30</v>
      </c>
      <c r="I44" s="21">
        <v>30</v>
      </c>
      <c r="J44" s="20" t="s">
        <v>76</v>
      </c>
      <c r="K44" s="22" t="s">
        <v>25</v>
      </c>
      <c r="L44" s="22">
        <v>1</v>
      </c>
      <c r="M44" s="22"/>
      <c r="N44" s="23"/>
    </row>
    <row r="45" spans="1:14" ht="45.75" thickBot="1" x14ac:dyDescent="0.3">
      <c r="A45" s="76"/>
      <c r="B45" s="79"/>
      <c r="C45" s="79"/>
      <c r="D45" s="20"/>
      <c r="E45" s="20"/>
      <c r="F45" s="21">
        <v>0</v>
      </c>
      <c r="G45" s="21">
        <v>0</v>
      </c>
      <c r="H45" s="21">
        <v>0</v>
      </c>
      <c r="I45" s="21">
        <v>0</v>
      </c>
      <c r="J45" s="20" t="s">
        <v>77</v>
      </c>
      <c r="K45" s="22" t="s">
        <v>25</v>
      </c>
      <c r="L45" s="22">
        <v>1</v>
      </c>
      <c r="M45" s="22"/>
      <c r="N45" s="23"/>
    </row>
    <row r="46" spans="1:14" ht="30.75" thickBot="1" x14ac:dyDescent="0.3">
      <c r="A46" s="24" t="s">
        <v>78</v>
      </c>
      <c r="B46" s="25" t="s">
        <v>79</v>
      </c>
      <c r="C46" s="16" t="s">
        <v>19</v>
      </c>
      <c r="D46" s="16" t="s">
        <v>34</v>
      </c>
      <c r="E46" s="16"/>
      <c r="F46" s="26">
        <v>5</v>
      </c>
      <c r="G46" s="26">
        <v>5</v>
      </c>
      <c r="H46" s="26">
        <v>5</v>
      </c>
      <c r="I46" s="26">
        <v>5</v>
      </c>
      <c r="J46" s="16" t="s">
        <v>80</v>
      </c>
      <c r="K46" s="18" t="s">
        <v>25</v>
      </c>
      <c r="L46" s="18">
        <v>1</v>
      </c>
      <c r="M46" s="18">
        <v>1</v>
      </c>
      <c r="N46" s="19">
        <v>1</v>
      </c>
    </row>
    <row r="47" spans="1:14" ht="27" customHeight="1" thickBot="1" x14ac:dyDescent="0.3">
      <c r="A47" s="14" t="s">
        <v>81</v>
      </c>
      <c r="B47" s="89" t="s">
        <v>82</v>
      </c>
      <c r="C47" s="90"/>
      <c r="D47" s="90"/>
      <c r="E47" s="91"/>
      <c r="F47" s="15">
        <f>F48+F51</f>
        <v>30.2</v>
      </c>
      <c r="G47" s="15">
        <f>G48+G51</f>
        <v>30.2</v>
      </c>
      <c r="H47" s="15">
        <f>H48+H51</f>
        <v>28</v>
      </c>
      <c r="I47" s="15">
        <f>I48+I51</f>
        <v>28</v>
      </c>
      <c r="J47" s="71"/>
      <c r="K47" s="72"/>
      <c r="L47" s="72"/>
      <c r="M47" s="72"/>
      <c r="N47" s="73"/>
    </row>
    <row r="48" spans="1:14" ht="22.5" customHeight="1" x14ac:dyDescent="0.25">
      <c r="A48" s="74" t="s">
        <v>83</v>
      </c>
      <c r="B48" s="77" t="s">
        <v>84</v>
      </c>
      <c r="C48" s="77" t="s">
        <v>19</v>
      </c>
      <c r="D48" s="16"/>
      <c r="E48" s="16"/>
      <c r="F48" s="17">
        <f>SUM(F49:F50)</f>
        <v>17.2</v>
      </c>
      <c r="G48" s="17">
        <f>SUM(G49:G50)</f>
        <v>17.2</v>
      </c>
      <c r="H48" s="17">
        <f>SUM(H49:H50)</f>
        <v>13</v>
      </c>
      <c r="I48" s="17">
        <f>SUM(I49:I50)</f>
        <v>13</v>
      </c>
      <c r="J48" s="16" t="s">
        <v>85</v>
      </c>
      <c r="K48" s="18" t="s">
        <v>25</v>
      </c>
      <c r="L48" s="18">
        <v>2</v>
      </c>
      <c r="M48" s="18">
        <v>2</v>
      </c>
      <c r="N48" s="19">
        <v>2</v>
      </c>
    </row>
    <row r="49" spans="1:14" x14ac:dyDescent="0.25">
      <c r="A49" s="75"/>
      <c r="B49" s="78"/>
      <c r="C49" s="78"/>
      <c r="D49" s="20" t="s">
        <v>32</v>
      </c>
      <c r="E49" s="20"/>
      <c r="F49" s="21">
        <v>4.2</v>
      </c>
      <c r="G49" s="21">
        <v>4.2</v>
      </c>
      <c r="H49" s="21">
        <v>0</v>
      </c>
      <c r="I49" s="21">
        <v>0</v>
      </c>
      <c r="J49" s="20"/>
      <c r="K49" s="22"/>
      <c r="L49" s="22"/>
      <c r="M49" s="22"/>
      <c r="N49" s="23"/>
    </row>
    <row r="50" spans="1:14" ht="15.75" thickBot="1" x14ac:dyDescent="0.3">
      <c r="A50" s="76"/>
      <c r="B50" s="79"/>
      <c r="C50" s="79"/>
      <c r="D50" s="20" t="s">
        <v>34</v>
      </c>
      <c r="E50" s="20"/>
      <c r="F50" s="21">
        <v>13</v>
      </c>
      <c r="G50" s="21">
        <v>13</v>
      </c>
      <c r="H50" s="21">
        <v>13</v>
      </c>
      <c r="I50" s="21">
        <v>13</v>
      </c>
      <c r="J50" s="20"/>
      <c r="K50" s="22"/>
      <c r="L50" s="22"/>
      <c r="M50" s="22"/>
      <c r="N50" s="23"/>
    </row>
    <row r="51" spans="1:14" x14ac:dyDescent="0.25">
      <c r="A51" s="74" t="s">
        <v>86</v>
      </c>
      <c r="B51" s="77" t="s">
        <v>87</v>
      </c>
      <c r="C51" s="77" t="s">
        <v>19</v>
      </c>
      <c r="D51" s="16"/>
      <c r="E51" s="16"/>
      <c r="F51" s="17">
        <f>SUM(F52:F53)</f>
        <v>13</v>
      </c>
      <c r="G51" s="17">
        <f>SUM(G52:G53)</f>
        <v>13</v>
      </c>
      <c r="H51" s="17">
        <f>SUM(H52:H53)</f>
        <v>15</v>
      </c>
      <c r="I51" s="17">
        <f>SUM(I52:I53)</f>
        <v>15</v>
      </c>
      <c r="J51" s="16" t="s">
        <v>88</v>
      </c>
      <c r="K51" s="18" t="s">
        <v>25</v>
      </c>
      <c r="L51" s="18">
        <v>4</v>
      </c>
      <c r="M51" s="18">
        <v>4</v>
      </c>
      <c r="N51" s="19">
        <v>4</v>
      </c>
    </row>
    <row r="52" spans="1:14" x14ac:dyDescent="0.25">
      <c r="A52" s="75"/>
      <c r="B52" s="78"/>
      <c r="C52" s="78"/>
      <c r="D52" s="20" t="s">
        <v>32</v>
      </c>
      <c r="E52" s="20"/>
      <c r="F52" s="21">
        <v>3</v>
      </c>
      <c r="G52" s="21">
        <v>3</v>
      </c>
      <c r="H52" s="21">
        <v>0</v>
      </c>
      <c r="I52" s="21">
        <v>0</v>
      </c>
      <c r="J52" s="20"/>
      <c r="K52" s="22"/>
      <c r="L52" s="22"/>
      <c r="M52" s="22"/>
      <c r="N52" s="23"/>
    </row>
    <row r="53" spans="1:14" ht="15.75" thickBot="1" x14ac:dyDescent="0.3">
      <c r="A53" s="76"/>
      <c r="B53" s="79"/>
      <c r="C53" s="79"/>
      <c r="D53" s="20" t="s">
        <v>34</v>
      </c>
      <c r="E53" s="20"/>
      <c r="F53" s="21">
        <v>10</v>
      </c>
      <c r="G53" s="21">
        <v>10</v>
      </c>
      <c r="H53" s="21">
        <v>15</v>
      </c>
      <c r="I53" s="21">
        <v>15</v>
      </c>
      <c r="J53" s="20"/>
      <c r="K53" s="22"/>
      <c r="L53" s="22"/>
      <c r="M53" s="22"/>
      <c r="N53" s="23"/>
    </row>
    <row r="54" spans="1:14" ht="27" customHeight="1" thickBot="1" x14ac:dyDescent="0.3">
      <c r="A54" s="6" t="s">
        <v>89</v>
      </c>
      <c r="B54" s="7" t="s">
        <v>90</v>
      </c>
      <c r="C54" s="80" t="s">
        <v>91</v>
      </c>
      <c r="D54" s="81"/>
      <c r="E54" s="82"/>
      <c r="F54" s="8">
        <f>F55+F90</f>
        <v>8901.6000000000022</v>
      </c>
      <c r="G54" s="8">
        <f>G55+G90</f>
        <v>8984</v>
      </c>
      <c r="H54" s="8">
        <f>H55+H90</f>
        <v>8007.5000000000009</v>
      </c>
      <c r="I54" s="8">
        <f>I55+I90</f>
        <v>8342.9</v>
      </c>
      <c r="J54" s="83"/>
      <c r="K54" s="84"/>
      <c r="L54" s="84"/>
      <c r="M54" s="84"/>
      <c r="N54" s="85"/>
    </row>
    <row r="55" spans="1:14" ht="30" x14ac:dyDescent="0.25">
      <c r="A55" s="92" t="s">
        <v>92</v>
      </c>
      <c r="B55" s="95" t="s">
        <v>93</v>
      </c>
      <c r="C55" s="96"/>
      <c r="D55" s="96"/>
      <c r="E55" s="97"/>
      <c r="F55" s="10">
        <f>F56+F57+F58+F65</f>
        <v>8515.9000000000015</v>
      </c>
      <c r="G55" s="10">
        <f>G56+G57+G58+G65</f>
        <v>8598.2999999999993</v>
      </c>
      <c r="H55" s="10">
        <f>H56+H57+H58+H65</f>
        <v>7452.7000000000007</v>
      </c>
      <c r="I55" s="10">
        <f>I56+I57+I58+I65</f>
        <v>7890.6</v>
      </c>
      <c r="J55" s="11" t="s">
        <v>94</v>
      </c>
      <c r="K55" s="12" t="s">
        <v>20</v>
      </c>
      <c r="L55" s="12">
        <v>1.5</v>
      </c>
      <c r="M55" s="12">
        <v>1.5</v>
      </c>
      <c r="N55" s="13">
        <v>1.5</v>
      </c>
    </row>
    <row r="56" spans="1:14" ht="30" x14ac:dyDescent="0.25">
      <c r="A56" s="93"/>
      <c r="B56" s="98"/>
      <c r="C56" s="99"/>
      <c r="D56" s="99"/>
      <c r="E56" s="100"/>
      <c r="F56" s="27">
        <v>0</v>
      </c>
      <c r="G56" s="27">
        <v>0</v>
      </c>
      <c r="H56" s="27">
        <v>0</v>
      </c>
      <c r="I56" s="27">
        <v>0</v>
      </c>
      <c r="J56" s="28" t="s">
        <v>95</v>
      </c>
      <c r="K56" s="29" t="s">
        <v>20</v>
      </c>
      <c r="L56" s="29">
        <v>1.5</v>
      </c>
      <c r="M56" s="29">
        <v>1.5</v>
      </c>
      <c r="N56" s="30">
        <v>1.5</v>
      </c>
    </row>
    <row r="57" spans="1:14" ht="15.75" thickBot="1" x14ac:dyDescent="0.3">
      <c r="A57" s="94"/>
      <c r="B57" s="101"/>
      <c r="C57" s="102"/>
      <c r="D57" s="102"/>
      <c r="E57" s="103"/>
      <c r="F57" s="27">
        <v>0</v>
      </c>
      <c r="G57" s="27">
        <v>0</v>
      </c>
      <c r="H57" s="27">
        <v>0</v>
      </c>
      <c r="I57" s="27">
        <v>0</v>
      </c>
      <c r="J57" s="28" t="s">
        <v>96</v>
      </c>
      <c r="K57" s="29" t="s">
        <v>25</v>
      </c>
      <c r="L57" s="29">
        <v>5</v>
      </c>
      <c r="M57" s="29">
        <v>1</v>
      </c>
      <c r="N57" s="30">
        <v>0</v>
      </c>
    </row>
    <row r="58" spans="1:14" ht="27.75" customHeight="1" thickBot="1" x14ac:dyDescent="0.3">
      <c r="A58" s="14" t="s">
        <v>97</v>
      </c>
      <c r="B58" s="89" t="s">
        <v>98</v>
      </c>
      <c r="C58" s="90"/>
      <c r="D58" s="90"/>
      <c r="E58" s="91"/>
      <c r="F58" s="15">
        <f>SUM(F59:F62)</f>
        <v>732.5</v>
      </c>
      <c r="G58" s="15">
        <f>SUM(G59:G62)</f>
        <v>732.5</v>
      </c>
      <c r="H58" s="15">
        <f>SUM(H59:H62)</f>
        <v>927.40000000000009</v>
      </c>
      <c r="I58" s="15">
        <f>SUM(I59:I62)</f>
        <v>974</v>
      </c>
      <c r="J58" s="71"/>
      <c r="K58" s="72"/>
      <c r="L58" s="72"/>
      <c r="M58" s="72"/>
      <c r="N58" s="73"/>
    </row>
    <row r="59" spans="1:14" ht="45.75" thickBot="1" x14ac:dyDescent="0.3">
      <c r="A59" s="24" t="s">
        <v>99</v>
      </c>
      <c r="B59" s="25" t="s">
        <v>100</v>
      </c>
      <c r="C59" s="16" t="s">
        <v>91</v>
      </c>
      <c r="D59" s="16" t="s">
        <v>34</v>
      </c>
      <c r="E59" s="16"/>
      <c r="F59" s="26">
        <v>60</v>
      </c>
      <c r="G59" s="26">
        <v>60</v>
      </c>
      <c r="H59" s="26">
        <v>90</v>
      </c>
      <c r="I59" s="26">
        <v>100</v>
      </c>
      <c r="J59" s="16" t="s">
        <v>101</v>
      </c>
      <c r="K59" s="18" t="s">
        <v>25</v>
      </c>
      <c r="L59" s="18">
        <v>34</v>
      </c>
      <c r="M59" s="18">
        <v>37</v>
      </c>
      <c r="N59" s="19">
        <v>40</v>
      </c>
    </row>
    <row r="60" spans="1:14" x14ac:dyDescent="0.25">
      <c r="A60" s="24" t="s">
        <v>102</v>
      </c>
      <c r="B60" s="25" t="s">
        <v>103</v>
      </c>
      <c r="C60" s="16" t="s">
        <v>91</v>
      </c>
      <c r="D60" s="16" t="s">
        <v>34</v>
      </c>
      <c r="E60" s="16"/>
      <c r="F60" s="26">
        <v>26.2</v>
      </c>
      <c r="G60" s="26">
        <v>26.2</v>
      </c>
      <c r="H60" s="26">
        <v>26.2</v>
      </c>
      <c r="I60" s="26">
        <v>31</v>
      </c>
      <c r="J60" s="16" t="s">
        <v>104</v>
      </c>
      <c r="K60" s="18" t="s">
        <v>25</v>
      </c>
      <c r="L60" s="18">
        <v>11</v>
      </c>
      <c r="M60" s="18">
        <v>11</v>
      </c>
      <c r="N60" s="19">
        <v>11</v>
      </c>
    </row>
    <row r="61" spans="1:14" ht="90.75" thickBot="1" x14ac:dyDescent="0.3">
      <c r="A61" s="24" t="s">
        <v>105</v>
      </c>
      <c r="B61" s="25" t="s">
        <v>106</v>
      </c>
      <c r="C61" s="16" t="s">
        <v>91</v>
      </c>
      <c r="D61" s="16" t="s">
        <v>34</v>
      </c>
      <c r="E61" s="16"/>
      <c r="F61" s="26">
        <v>320.5</v>
      </c>
      <c r="G61" s="26">
        <v>320.5</v>
      </c>
      <c r="H61" s="26">
        <v>455.4</v>
      </c>
      <c r="I61" s="26">
        <v>400</v>
      </c>
      <c r="J61" s="16" t="s">
        <v>107</v>
      </c>
      <c r="K61" s="18" t="s">
        <v>25</v>
      </c>
      <c r="L61" s="18">
        <v>8</v>
      </c>
      <c r="M61" s="18">
        <v>8</v>
      </c>
      <c r="N61" s="19">
        <v>8</v>
      </c>
    </row>
    <row r="62" spans="1:14" ht="30" x14ac:dyDescent="0.25">
      <c r="A62" s="74" t="s">
        <v>108</v>
      </c>
      <c r="B62" s="77" t="s">
        <v>109</v>
      </c>
      <c r="C62" s="77" t="s">
        <v>91</v>
      </c>
      <c r="D62" s="16" t="s">
        <v>34</v>
      </c>
      <c r="E62" s="16"/>
      <c r="F62" s="17">
        <f>SUM(F63:F64)+325.8</f>
        <v>325.8</v>
      </c>
      <c r="G62" s="17">
        <f>SUM(G63:G64)+325.8</f>
        <v>325.8</v>
      </c>
      <c r="H62" s="17">
        <f>SUM(H63:H64)+355.8</f>
        <v>355.8</v>
      </c>
      <c r="I62" s="17">
        <f>SUM(I63:I64)+443</f>
        <v>443</v>
      </c>
      <c r="J62" s="16" t="s">
        <v>110</v>
      </c>
      <c r="K62" s="18" t="s">
        <v>25</v>
      </c>
      <c r="L62" s="18">
        <v>14</v>
      </c>
      <c r="M62" s="18">
        <v>14</v>
      </c>
      <c r="N62" s="19">
        <v>14</v>
      </c>
    </row>
    <row r="63" spans="1:14" ht="45" x14ac:dyDescent="0.25">
      <c r="A63" s="75"/>
      <c r="B63" s="78"/>
      <c r="C63" s="78"/>
      <c r="D63" s="20"/>
      <c r="E63" s="20"/>
      <c r="F63" s="21">
        <v>0</v>
      </c>
      <c r="G63" s="21">
        <v>0</v>
      </c>
      <c r="H63" s="21">
        <v>0</v>
      </c>
      <c r="I63" s="21">
        <v>0</v>
      </c>
      <c r="J63" s="20" t="s">
        <v>111</v>
      </c>
      <c r="K63" s="22" t="s">
        <v>25</v>
      </c>
      <c r="L63" s="22">
        <v>31</v>
      </c>
      <c r="M63" s="22">
        <v>32</v>
      </c>
      <c r="N63" s="23">
        <v>33</v>
      </c>
    </row>
    <row r="64" spans="1:14" ht="30.75" thickBot="1" x14ac:dyDescent="0.3">
      <c r="A64" s="76"/>
      <c r="B64" s="79"/>
      <c r="C64" s="79"/>
      <c r="D64" s="20"/>
      <c r="E64" s="20"/>
      <c r="F64" s="21">
        <v>0</v>
      </c>
      <c r="G64" s="21">
        <v>0</v>
      </c>
      <c r="H64" s="21">
        <v>0</v>
      </c>
      <c r="I64" s="21">
        <v>0</v>
      </c>
      <c r="J64" s="20" t="s">
        <v>112</v>
      </c>
      <c r="K64" s="22" t="s">
        <v>25</v>
      </c>
      <c r="L64" s="22">
        <v>2</v>
      </c>
      <c r="M64" s="22">
        <v>2</v>
      </c>
      <c r="N64" s="23">
        <v>2</v>
      </c>
    </row>
    <row r="65" spans="1:14" ht="27.75" customHeight="1" thickBot="1" x14ac:dyDescent="0.3">
      <c r="A65" s="14" t="s">
        <v>113</v>
      </c>
      <c r="B65" s="89" t="s">
        <v>114</v>
      </c>
      <c r="C65" s="90"/>
      <c r="D65" s="90"/>
      <c r="E65" s="91"/>
      <c r="F65" s="15">
        <f>F66+F76+F79+F82+F85+F89</f>
        <v>7783.4000000000005</v>
      </c>
      <c r="G65" s="15">
        <f>G66+G76+G79+G82+G85+G89</f>
        <v>7865.7999999999993</v>
      </c>
      <c r="H65" s="15">
        <f>H66+H76+H79+H82+H85+H89</f>
        <v>6525.3</v>
      </c>
      <c r="I65" s="15">
        <f>I66+I76+I79+I82+I85+I89</f>
        <v>6916.6</v>
      </c>
      <c r="J65" s="71"/>
      <c r="K65" s="72"/>
      <c r="L65" s="72"/>
      <c r="M65" s="72"/>
      <c r="N65" s="73"/>
    </row>
    <row r="66" spans="1:14" x14ac:dyDescent="0.25">
      <c r="A66" s="74" t="s">
        <v>115</v>
      </c>
      <c r="B66" s="77" t="s">
        <v>116</v>
      </c>
      <c r="C66" s="77" t="s">
        <v>91</v>
      </c>
      <c r="D66" s="16"/>
      <c r="E66" s="16"/>
      <c r="F66" s="17">
        <f>SUM(F67:F75)+0.1</f>
        <v>6874.7</v>
      </c>
      <c r="G66" s="17">
        <f>SUM(G67:G75)+0.1</f>
        <v>6877.9999999999991</v>
      </c>
      <c r="H66" s="17">
        <f>SUM(H67:H75)</f>
        <v>6317.8</v>
      </c>
      <c r="I66" s="17">
        <f>SUM(I67:I75)</f>
        <v>6916.6</v>
      </c>
      <c r="J66" s="16" t="s">
        <v>117</v>
      </c>
      <c r="K66" s="18" t="s">
        <v>25</v>
      </c>
      <c r="L66" s="18">
        <v>72</v>
      </c>
      <c r="M66" s="18">
        <v>73</v>
      </c>
      <c r="N66" s="19">
        <v>74</v>
      </c>
    </row>
    <row r="67" spans="1:14" x14ac:dyDescent="0.25">
      <c r="A67" s="75"/>
      <c r="B67" s="78"/>
      <c r="C67" s="78"/>
      <c r="D67" s="20" t="s">
        <v>118</v>
      </c>
      <c r="E67" s="20"/>
      <c r="F67" s="21">
        <v>174.2</v>
      </c>
      <c r="G67" s="21">
        <v>174.2</v>
      </c>
      <c r="H67" s="21">
        <v>174.8</v>
      </c>
      <c r="I67" s="21">
        <v>178.3</v>
      </c>
      <c r="J67" s="20" t="s">
        <v>119</v>
      </c>
      <c r="K67" s="22" t="s">
        <v>25</v>
      </c>
      <c r="L67" s="22">
        <v>745</v>
      </c>
      <c r="M67" s="22">
        <v>852</v>
      </c>
      <c r="N67" s="23">
        <v>868</v>
      </c>
    </row>
    <row r="68" spans="1:14" x14ac:dyDescent="0.25">
      <c r="A68" s="75"/>
      <c r="B68" s="78"/>
      <c r="C68" s="78"/>
      <c r="D68" s="20" t="s">
        <v>34</v>
      </c>
      <c r="E68" s="20"/>
      <c r="F68" s="21">
        <v>5699.4</v>
      </c>
      <c r="G68" s="21">
        <v>5699.4</v>
      </c>
      <c r="H68" s="21">
        <v>5731.8</v>
      </c>
      <c r="I68" s="21">
        <v>6305.1</v>
      </c>
      <c r="J68" s="20" t="s">
        <v>120</v>
      </c>
      <c r="K68" s="22" t="s">
        <v>25</v>
      </c>
      <c r="L68" s="22">
        <v>25</v>
      </c>
      <c r="M68" s="22">
        <v>28</v>
      </c>
      <c r="N68" s="23">
        <v>29</v>
      </c>
    </row>
    <row r="69" spans="1:14" ht="30" x14ac:dyDescent="0.25">
      <c r="A69" s="75"/>
      <c r="B69" s="78"/>
      <c r="C69" s="78"/>
      <c r="D69" s="20" t="s">
        <v>121</v>
      </c>
      <c r="E69" s="20"/>
      <c r="F69" s="21">
        <v>175</v>
      </c>
      <c r="G69" s="21">
        <v>175</v>
      </c>
      <c r="H69" s="21">
        <v>176</v>
      </c>
      <c r="I69" s="21">
        <v>178</v>
      </c>
      <c r="J69" s="20" t="s">
        <v>122</v>
      </c>
      <c r="K69" s="22" t="s">
        <v>25</v>
      </c>
      <c r="L69" s="31">
        <v>33500</v>
      </c>
      <c r="M69" s="31">
        <v>34000</v>
      </c>
      <c r="N69" s="32">
        <v>34500</v>
      </c>
    </row>
    <row r="70" spans="1:14" x14ac:dyDescent="0.25">
      <c r="A70" s="75"/>
      <c r="B70" s="78"/>
      <c r="C70" s="78"/>
      <c r="D70" s="20" t="s">
        <v>123</v>
      </c>
      <c r="E70" s="20"/>
      <c r="F70" s="21">
        <v>43.4</v>
      </c>
      <c r="G70" s="21">
        <v>43.4</v>
      </c>
      <c r="H70" s="21">
        <v>43.4</v>
      </c>
      <c r="I70" s="21">
        <v>43.4</v>
      </c>
      <c r="J70" s="20" t="s">
        <v>124</v>
      </c>
      <c r="K70" s="22" t="s">
        <v>25</v>
      </c>
      <c r="L70" s="22">
        <v>688</v>
      </c>
      <c r="M70" s="22">
        <v>721</v>
      </c>
      <c r="N70" s="23">
        <v>751</v>
      </c>
    </row>
    <row r="71" spans="1:14" x14ac:dyDescent="0.25">
      <c r="A71" s="75"/>
      <c r="B71" s="78"/>
      <c r="C71" s="78"/>
      <c r="D71" s="20" t="s">
        <v>125</v>
      </c>
      <c r="E71" s="20"/>
      <c r="F71" s="21">
        <v>171.8</v>
      </c>
      <c r="G71" s="21">
        <v>171.8</v>
      </c>
      <c r="H71" s="21">
        <v>191.8</v>
      </c>
      <c r="I71" s="21">
        <v>211.8</v>
      </c>
      <c r="J71" s="20" t="s">
        <v>126</v>
      </c>
      <c r="K71" s="22" t="s">
        <v>25</v>
      </c>
      <c r="L71" s="22">
        <v>237</v>
      </c>
      <c r="M71" s="22">
        <v>248</v>
      </c>
      <c r="N71" s="23">
        <v>258</v>
      </c>
    </row>
    <row r="72" spans="1:14" ht="45" x14ac:dyDescent="0.25">
      <c r="A72" s="75"/>
      <c r="B72" s="78"/>
      <c r="C72" s="78"/>
      <c r="D72" s="20" t="s">
        <v>32</v>
      </c>
      <c r="E72" s="20"/>
      <c r="F72" s="21">
        <v>610.6</v>
      </c>
      <c r="G72" s="21">
        <v>613.9</v>
      </c>
      <c r="H72" s="21">
        <v>0</v>
      </c>
      <c r="I72" s="21">
        <v>0</v>
      </c>
      <c r="J72" s="20" t="s">
        <v>127</v>
      </c>
      <c r="K72" s="22" t="s">
        <v>25</v>
      </c>
      <c r="L72" s="31">
        <v>384700</v>
      </c>
      <c r="M72" s="31">
        <v>431600</v>
      </c>
      <c r="N72" s="32">
        <v>436700</v>
      </c>
    </row>
    <row r="73" spans="1:14" ht="60" x14ac:dyDescent="0.25">
      <c r="A73" s="75"/>
      <c r="B73" s="78"/>
      <c r="C73" s="78"/>
      <c r="D73" s="20" t="s">
        <v>128</v>
      </c>
      <c r="E73" s="20"/>
      <c r="F73" s="21">
        <v>0.2</v>
      </c>
      <c r="G73" s="21">
        <v>0.2</v>
      </c>
      <c r="H73" s="21">
        <v>0</v>
      </c>
      <c r="I73" s="21">
        <v>0</v>
      </c>
      <c r="J73" s="20" t="s">
        <v>129</v>
      </c>
      <c r="K73" s="22" t="s">
        <v>25</v>
      </c>
      <c r="L73" s="31">
        <v>19270</v>
      </c>
      <c r="M73" s="31">
        <v>21240</v>
      </c>
      <c r="N73" s="32">
        <v>21400</v>
      </c>
    </row>
    <row r="74" spans="1:14" x14ac:dyDescent="0.25">
      <c r="A74" s="75"/>
      <c r="B74" s="78"/>
      <c r="C74" s="78"/>
      <c r="D74" s="20"/>
      <c r="E74" s="20"/>
      <c r="F74" s="21">
        <v>0</v>
      </c>
      <c r="G74" s="21">
        <v>0</v>
      </c>
      <c r="H74" s="21">
        <v>0</v>
      </c>
      <c r="I74" s="21">
        <v>0</v>
      </c>
      <c r="J74" s="20" t="s">
        <v>130</v>
      </c>
      <c r="K74" s="22" t="s">
        <v>25</v>
      </c>
      <c r="L74" s="31">
        <v>13230</v>
      </c>
      <c r="M74" s="31">
        <v>14135</v>
      </c>
      <c r="N74" s="32">
        <v>14550</v>
      </c>
    </row>
    <row r="75" spans="1:14" ht="15.75" thickBot="1" x14ac:dyDescent="0.3">
      <c r="A75" s="76"/>
      <c r="B75" s="79"/>
      <c r="C75" s="79"/>
      <c r="D75" s="20"/>
      <c r="E75" s="20"/>
      <c r="F75" s="21">
        <v>0</v>
      </c>
      <c r="G75" s="21">
        <v>0</v>
      </c>
      <c r="H75" s="21">
        <v>0</v>
      </c>
      <c r="I75" s="21">
        <v>0</v>
      </c>
      <c r="J75" s="20" t="s">
        <v>131</v>
      </c>
      <c r="K75" s="22" t="s">
        <v>25</v>
      </c>
      <c r="L75" s="31">
        <v>4700</v>
      </c>
      <c r="M75" s="31">
        <v>4800</v>
      </c>
      <c r="N75" s="32">
        <v>4900</v>
      </c>
    </row>
    <row r="76" spans="1:14" ht="36" customHeight="1" x14ac:dyDescent="0.25">
      <c r="A76" s="74" t="s">
        <v>132</v>
      </c>
      <c r="B76" s="77" t="s">
        <v>133</v>
      </c>
      <c r="C76" s="77" t="s">
        <v>134</v>
      </c>
      <c r="D76" s="16"/>
      <c r="E76" s="16"/>
      <c r="F76" s="17">
        <f>SUM(F77:F78)</f>
        <v>146.1</v>
      </c>
      <c r="G76" s="17">
        <f>SUM(G77:G78)</f>
        <v>175.2</v>
      </c>
      <c r="H76" s="17">
        <f>SUM(H77:H78)</f>
        <v>0</v>
      </c>
      <c r="I76" s="17">
        <f>SUM(I77:I78)</f>
        <v>0</v>
      </c>
      <c r="J76" s="16" t="s">
        <v>135</v>
      </c>
      <c r="K76" s="18" t="s">
        <v>20</v>
      </c>
      <c r="L76" s="18">
        <v>100</v>
      </c>
      <c r="M76" s="18"/>
      <c r="N76" s="19"/>
    </row>
    <row r="77" spans="1:14" x14ac:dyDescent="0.25">
      <c r="A77" s="75"/>
      <c r="B77" s="78"/>
      <c r="C77" s="78"/>
      <c r="D77" s="20" t="s">
        <v>32</v>
      </c>
      <c r="E77" s="20"/>
      <c r="F77" s="21">
        <v>146.1</v>
      </c>
      <c r="G77" s="21">
        <v>146.1</v>
      </c>
      <c r="H77" s="21">
        <v>0</v>
      </c>
      <c r="I77" s="21">
        <v>0</v>
      </c>
      <c r="J77" s="20"/>
      <c r="K77" s="22"/>
      <c r="L77" s="22"/>
      <c r="M77" s="22"/>
      <c r="N77" s="23"/>
    </row>
    <row r="78" spans="1:14" ht="15.75" thickBot="1" x14ac:dyDescent="0.3">
      <c r="A78" s="76"/>
      <c r="B78" s="79"/>
      <c r="C78" s="79"/>
      <c r="D78" s="20" t="s">
        <v>34</v>
      </c>
      <c r="E78" s="20"/>
      <c r="F78" s="21">
        <v>0</v>
      </c>
      <c r="G78" s="21">
        <v>29.1</v>
      </c>
      <c r="H78" s="21">
        <v>0</v>
      </c>
      <c r="I78" s="21">
        <v>0</v>
      </c>
      <c r="J78" s="20"/>
      <c r="K78" s="22"/>
      <c r="L78" s="22"/>
      <c r="M78" s="22"/>
      <c r="N78" s="23"/>
    </row>
    <row r="79" spans="1:14" x14ac:dyDescent="0.25">
      <c r="A79" s="74" t="s">
        <v>136</v>
      </c>
      <c r="B79" s="77" t="s">
        <v>137</v>
      </c>
      <c r="C79" s="77" t="s">
        <v>138</v>
      </c>
      <c r="D79" s="16"/>
      <c r="E79" s="16"/>
      <c r="F79" s="17">
        <f>SUM(F80:F81)</f>
        <v>190.3</v>
      </c>
      <c r="G79" s="17">
        <f>SUM(G80:G81)</f>
        <v>190.3</v>
      </c>
      <c r="H79" s="17">
        <f>SUM(H80:H81)</f>
        <v>207.5</v>
      </c>
      <c r="I79" s="17">
        <f>SUM(I80:I81)</f>
        <v>0</v>
      </c>
      <c r="J79" s="16" t="s">
        <v>135</v>
      </c>
      <c r="K79" s="18" t="s">
        <v>20</v>
      </c>
      <c r="L79" s="18">
        <v>50</v>
      </c>
      <c r="M79" s="18">
        <v>100</v>
      </c>
      <c r="N79" s="19"/>
    </row>
    <row r="80" spans="1:14" x14ac:dyDescent="0.25">
      <c r="A80" s="75"/>
      <c r="B80" s="78"/>
      <c r="C80" s="78"/>
      <c r="D80" s="20" t="s">
        <v>34</v>
      </c>
      <c r="E80" s="20"/>
      <c r="F80" s="21">
        <v>0</v>
      </c>
      <c r="G80" s="21">
        <v>0</v>
      </c>
      <c r="H80" s="21">
        <v>207.5</v>
      </c>
      <c r="I80" s="21">
        <v>0</v>
      </c>
      <c r="J80" s="20"/>
      <c r="K80" s="22"/>
      <c r="L80" s="22"/>
      <c r="M80" s="22"/>
      <c r="N80" s="23"/>
    </row>
    <row r="81" spans="1:14" ht="15.75" thickBot="1" x14ac:dyDescent="0.3">
      <c r="A81" s="76"/>
      <c r="B81" s="79"/>
      <c r="C81" s="79"/>
      <c r="D81" s="20" t="s">
        <v>32</v>
      </c>
      <c r="E81" s="20"/>
      <c r="F81" s="21">
        <v>190.3</v>
      </c>
      <c r="G81" s="21">
        <v>190.3</v>
      </c>
      <c r="H81" s="21">
        <v>0</v>
      </c>
      <c r="I81" s="21">
        <v>0</v>
      </c>
      <c r="J81" s="20"/>
      <c r="K81" s="22"/>
      <c r="L81" s="22"/>
      <c r="M81" s="22"/>
      <c r="N81" s="23"/>
    </row>
    <row r="82" spans="1:14" ht="30" x14ac:dyDescent="0.25">
      <c r="A82" s="74" t="s">
        <v>139</v>
      </c>
      <c r="B82" s="77" t="s">
        <v>140</v>
      </c>
      <c r="C82" s="77" t="s">
        <v>141</v>
      </c>
      <c r="D82" s="16"/>
      <c r="E82" s="16" t="s">
        <v>142</v>
      </c>
      <c r="F82" s="17">
        <f>SUM(F83:F84)</f>
        <v>35.1</v>
      </c>
      <c r="G82" s="17">
        <f>SUM(G83:G84)</f>
        <v>85.1</v>
      </c>
      <c r="H82" s="17">
        <f>SUM(H83:H84)</f>
        <v>0</v>
      </c>
      <c r="I82" s="17">
        <f>SUM(I83:I84)</f>
        <v>0</v>
      </c>
      <c r="J82" s="16" t="s">
        <v>143</v>
      </c>
      <c r="K82" s="18" t="s">
        <v>20</v>
      </c>
      <c r="L82" s="18">
        <v>100</v>
      </c>
      <c r="M82" s="18"/>
      <c r="N82" s="19"/>
    </row>
    <row r="83" spans="1:14" x14ac:dyDescent="0.25">
      <c r="A83" s="75"/>
      <c r="B83" s="78"/>
      <c r="C83" s="78"/>
      <c r="D83" s="20" t="s">
        <v>34</v>
      </c>
      <c r="E83" s="20"/>
      <c r="F83" s="21">
        <v>35.1</v>
      </c>
      <c r="G83" s="21">
        <v>35.1</v>
      </c>
      <c r="H83" s="21">
        <v>0</v>
      </c>
      <c r="I83" s="21">
        <v>0</v>
      </c>
      <c r="J83" s="20"/>
      <c r="K83" s="22"/>
      <c r="L83" s="22"/>
      <c r="M83" s="22"/>
      <c r="N83" s="23"/>
    </row>
    <row r="84" spans="1:14" ht="15.75" thickBot="1" x14ac:dyDescent="0.3">
      <c r="A84" s="76"/>
      <c r="B84" s="79"/>
      <c r="C84" s="79"/>
      <c r="D84" s="20" t="s">
        <v>32</v>
      </c>
      <c r="E84" s="20"/>
      <c r="F84" s="21">
        <v>0</v>
      </c>
      <c r="G84" s="21">
        <v>50</v>
      </c>
      <c r="H84" s="21">
        <v>0</v>
      </c>
      <c r="I84" s="21">
        <v>0</v>
      </c>
      <c r="J84" s="20"/>
      <c r="K84" s="22"/>
      <c r="L84" s="22"/>
      <c r="M84" s="22"/>
      <c r="N84" s="23"/>
    </row>
    <row r="85" spans="1:14" x14ac:dyDescent="0.25">
      <c r="A85" s="74" t="s">
        <v>144</v>
      </c>
      <c r="B85" s="77" t="s">
        <v>145</v>
      </c>
      <c r="C85" s="77" t="s">
        <v>146</v>
      </c>
      <c r="D85" s="16"/>
      <c r="E85" s="16"/>
      <c r="F85" s="17">
        <f>SUM(F86:F88)</f>
        <v>495.20000000000005</v>
      </c>
      <c r="G85" s="17">
        <f>SUM(G86:G88)</f>
        <v>495.20000000000005</v>
      </c>
      <c r="H85" s="17">
        <f>SUM(H86:H88)</f>
        <v>0</v>
      </c>
      <c r="I85" s="17">
        <f>SUM(I86:I88)</f>
        <v>0</v>
      </c>
      <c r="J85" s="16" t="s">
        <v>147</v>
      </c>
      <c r="K85" s="18" t="s">
        <v>20</v>
      </c>
      <c r="L85" s="18">
        <v>100</v>
      </c>
      <c r="M85" s="18"/>
      <c r="N85" s="19"/>
    </row>
    <row r="86" spans="1:14" x14ac:dyDescent="0.25">
      <c r="A86" s="75"/>
      <c r="B86" s="78"/>
      <c r="C86" s="78"/>
      <c r="D86" s="20" t="s">
        <v>34</v>
      </c>
      <c r="E86" s="20"/>
      <c r="F86" s="21">
        <v>308.8</v>
      </c>
      <c r="G86" s="21">
        <v>308.8</v>
      </c>
      <c r="H86" s="21">
        <v>0</v>
      </c>
      <c r="I86" s="21">
        <v>0</v>
      </c>
      <c r="J86" s="20" t="s">
        <v>148</v>
      </c>
      <c r="K86" s="22" t="s">
        <v>20</v>
      </c>
      <c r="L86" s="22">
        <v>100</v>
      </c>
      <c r="M86" s="22"/>
      <c r="N86" s="23"/>
    </row>
    <row r="87" spans="1:14" ht="30" x14ac:dyDescent="0.25">
      <c r="A87" s="75"/>
      <c r="B87" s="78"/>
      <c r="C87" s="78"/>
      <c r="D87" s="20" t="s">
        <v>149</v>
      </c>
      <c r="E87" s="20"/>
      <c r="F87" s="21">
        <v>37.1</v>
      </c>
      <c r="G87" s="21">
        <v>37.1</v>
      </c>
      <c r="H87" s="21">
        <v>0</v>
      </c>
      <c r="I87" s="21">
        <v>0</v>
      </c>
      <c r="J87" s="20" t="s">
        <v>150</v>
      </c>
      <c r="K87" s="22" t="s">
        <v>20</v>
      </c>
      <c r="L87" s="22">
        <v>100</v>
      </c>
      <c r="M87" s="22"/>
      <c r="N87" s="23"/>
    </row>
    <row r="88" spans="1:14" ht="15.75" thickBot="1" x14ac:dyDescent="0.3">
      <c r="A88" s="76"/>
      <c r="B88" s="79"/>
      <c r="C88" s="79"/>
      <c r="D88" s="20" t="s">
        <v>32</v>
      </c>
      <c r="E88" s="20"/>
      <c r="F88" s="21">
        <v>149.30000000000001</v>
      </c>
      <c r="G88" s="21">
        <v>149.30000000000001</v>
      </c>
      <c r="H88" s="21"/>
      <c r="I88" s="21"/>
      <c r="J88" s="20"/>
      <c r="K88" s="22"/>
      <c r="L88" s="22"/>
      <c r="M88" s="22"/>
      <c r="N88" s="23"/>
    </row>
    <row r="89" spans="1:14" ht="45.75" thickBot="1" x14ac:dyDescent="0.3">
      <c r="A89" s="24" t="s">
        <v>151</v>
      </c>
      <c r="B89" s="25" t="s">
        <v>152</v>
      </c>
      <c r="C89" s="16" t="s">
        <v>153</v>
      </c>
      <c r="D89" s="16" t="s">
        <v>34</v>
      </c>
      <c r="E89" s="16"/>
      <c r="F89" s="26">
        <v>42</v>
      </c>
      <c r="G89" s="26">
        <v>42</v>
      </c>
      <c r="H89" s="26">
        <v>0</v>
      </c>
      <c r="I89" s="26">
        <v>0</v>
      </c>
      <c r="J89" s="16" t="s">
        <v>135</v>
      </c>
      <c r="K89" s="18" t="s">
        <v>20</v>
      </c>
      <c r="L89" s="18">
        <v>100</v>
      </c>
      <c r="M89" s="18"/>
      <c r="N89" s="19"/>
    </row>
    <row r="90" spans="1:14" ht="30" x14ac:dyDescent="0.25">
      <c r="A90" s="92" t="s">
        <v>154</v>
      </c>
      <c r="B90" s="95" t="s">
        <v>155</v>
      </c>
      <c r="C90" s="96"/>
      <c r="D90" s="96"/>
      <c r="E90" s="97"/>
      <c r="F90" s="10">
        <f>F91+F92+F93+F94+F100</f>
        <v>385.7</v>
      </c>
      <c r="G90" s="10">
        <f>G91+G92+G93+G94+G100</f>
        <v>385.7</v>
      </c>
      <c r="H90" s="10">
        <f>H91+H92+H93+H94+H100</f>
        <v>554.79999999999995</v>
      </c>
      <c r="I90" s="10">
        <f>I91+I92+I93+I94+I100</f>
        <v>452.3</v>
      </c>
      <c r="J90" s="11" t="s">
        <v>156</v>
      </c>
      <c r="K90" s="12" t="s">
        <v>20</v>
      </c>
      <c r="L90" s="12">
        <v>1.5</v>
      </c>
      <c r="M90" s="12">
        <v>1.5</v>
      </c>
      <c r="N90" s="13">
        <v>1.5</v>
      </c>
    </row>
    <row r="91" spans="1:14" ht="30" x14ac:dyDescent="0.25">
      <c r="A91" s="93"/>
      <c r="B91" s="98"/>
      <c r="C91" s="99"/>
      <c r="D91" s="99"/>
      <c r="E91" s="100"/>
      <c r="F91" s="27">
        <v>0</v>
      </c>
      <c r="G91" s="27">
        <v>0</v>
      </c>
      <c r="H91" s="27">
        <v>0</v>
      </c>
      <c r="I91" s="27">
        <v>0</v>
      </c>
      <c r="J91" s="28" t="s">
        <v>157</v>
      </c>
      <c r="K91" s="29" t="s">
        <v>25</v>
      </c>
      <c r="L91" s="29">
        <v>17</v>
      </c>
      <c r="M91" s="29">
        <v>13</v>
      </c>
      <c r="N91" s="30">
        <v>13</v>
      </c>
    </row>
    <row r="92" spans="1:14" ht="30" x14ac:dyDescent="0.25">
      <c r="A92" s="93"/>
      <c r="B92" s="98"/>
      <c r="C92" s="99"/>
      <c r="D92" s="99"/>
      <c r="E92" s="100"/>
      <c r="F92" s="27">
        <v>0</v>
      </c>
      <c r="G92" s="27">
        <v>0</v>
      </c>
      <c r="H92" s="27">
        <v>0</v>
      </c>
      <c r="I92" s="27">
        <v>0</v>
      </c>
      <c r="J92" s="28" t="s">
        <v>158</v>
      </c>
      <c r="K92" s="29" t="s">
        <v>159</v>
      </c>
      <c r="L92" s="33">
        <v>1500</v>
      </c>
      <c r="M92" s="29"/>
      <c r="N92" s="30"/>
    </row>
    <row r="93" spans="1:14" ht="30.75" thickBot="1" x14ac:dyDescent="0.3">
      <c r="A93" s="94"/>
      <c r="B93" s="101"/>
      <c r="C93" s="102"/>
      <c r="D93" s="102"/>
      <c r="E93" s="103"/>
      <c r="F93" s="27">
        <v>0</v>
      </c>
      <c r="G93" s="27">
        <v>0</v>
      </c>
      <c r="H93" s="27">
        <v>0</v>
      </c>
      <c r="I93" s="27">
        <v>0</v>
      </c>
      <c r="J93" s="28" t="s">
        <v>160</v>
      </c>
      <c r="K93" s="29" t="s">
        <v>159</v>
      </c>
      <c r="L93" s="33">
        <v>1800</v>
      </c>
      <c r="M93" s="29"/>
      <c r="N93" s="30"/>
    </row>
    <row r="94" spans="1:14" ht="26.25" customHeight="1" thickBot="1" x14ac:dyDescent="0.3">
      <c r="A94" s="14" t="s">
        <v>161</v>
      </c>
      <c r="B94" s="89" t="s">
        <v>162</v>
      </c>
      <c r="C94" s="90"/>
      <c r="D94" s="90"/>
      <c r="E94" s="91"/>
      <c r="F94" s="15">
        <f>F95+F98+F99</f>
        <v>374.2</v>
      </c>
      <c r="G94" s="15">
        <f>G95+G98+G99</f>
        <v>374.2</v>
      </c>
      <c r="H94" s="15">
        <f>H95+H98+H99</f>
        <v>528.29999999999995</v>
      </c>
      <c r="I94" s="15">
        <f>I95+I98+I99</f>
        <v>417.3</v>
      </c>
      <c r="J94" s="71"/>
      <c r="K94" s="72"/>
      <c r="L94" s="72"/>
      <c r="M94" s="72"/>
      <c r="N94" s="73"/>
    </row>
    <row r="95" spans="1:14" x14ac:dyDescent="0.25">
      <c r="A95" s="74" t="s">
        <v>163</v>
      </c>
      <c r="B95" s="77" t="s">
        <v>164</v>
      </c>
      <c r="C95" s="77" t="s">
        <v>165</v>
      </c>
      <c r="D95" s="16" t="s">
        <v>34</v>
      </c>
      <c r="E95" s="16" t="s">
        <v>142</v>
      </c>
      <c r="F95" s="17">
        <f>SUM(F96:F97)+332.4</f>
        <v>332.4</v>
      </c>
      <c r="G95" s="17">
        <f>SUM(G96:G97)+332.4</f>
        <v>332.4</v>
      </c>
      <c r="H95" s="17">
        <f>SUM(H96:H97)+419.7</f>
        <v>419.7</v>
      </c>
      <c r="I95" s="17">
        <f>SUM(I96:I97)+389.7</f>
        <v>389.7</v>
      </c>
      <c r="J95" s="16" t="s">
        <v>166</v>
      </c>
      <c r="K95" s="18" t="s">
        <v>25</v>
      </c>
      <c r="L95" s="18">
        <v>17</v>
      </c>
      <c r="M95" s="18">
        <v>13</v>
      </c>
      <c r="N95" s="19">
        <v>13</v>
      </c>
    </row>
    <row r="96" spans="1:14" ht="30" x14ac:dyDescent="0.25">
      <c r="A96" s="75"/>
      <c r="B96" s="78"/>
      <c r="C96" s="78"/>
      <c r="D96" s="20"/>
      <c r="E96" s="20"/>
      <c r="F96" s="21">
        <v>0</v>
      </c>
      <c r="G96" s="21">
        <v>0</v>
      </c>
      <c r="H96" s="21">
        <v>0</v>
      </c>
      <c r="I96" s="21">
        <v>0</v>
      </c>
      <c r="J96" s="20" t="s">
        <v>158</v>
      </c>
      <c r="K96" s="22" t="s">
        <v>159</v>
      </c>
      <c r="L96" s="31">
        <v>1500</v>
      </c>
      <c r="M96" s="22"/>
      <c r="N96" s="23"/>
    </row>
    <row r="97" spans="1:14" ht="25.5" customHeight="1" thickBot="1" x14ac:dyDescent="0.3">
      <c r="A97" s="76"/>
      <c r="B97" s="79"/>
      <c r="C97" s="79"/>
      <c r="D97" s="20"/>
      <c r="E97" s="20"/>
      <c r="F97" s="21">
        <v>0</v>
      </c>
      <c r="G97" s="21">
        <v>0</v>
      </c>
      <c r="H97" s="21">
        <v>0</v>
      </c>
      <c r="I97" s="21">
        <v>0</v>
      </c>
      <c r="J97" s="20" t="s">
        <v>160</v>
      </c>
      <c r="K97" s="22" t="s">
        <v>159</v>
      </c>
      <c r="L97" s="31">
        <v>1800</v>
      </c>
      <c r="M97" s="22"/>
      <c r="N97" s="23"/>
    </row>
    <row r="98" spans="1:14" ht="45.75" hidden="1" thickBot="1" x14ac:dyDescent="0.3">
      <c r="A98" s="24" t="s">
        <v>167</v>
      </c>
      <c r="B98" s="25" t="s">
        <v>168</v>
      </c>
      <c r="C98" s="16"/>
      <c r="D98" s="16" t="s">
        <v>34</v>
      </c>
      <c r="E98" s="16"/>
      <c r="F98" s="26">
        <v>0</v>
      </c>
      <c r="G98" s="26">
        <v>0</v>
      </c>
      <c r="H98" s="26">
        <v>0</v>
      </c>
      <c r="I98" s="26">
        <v>0</v>
      </c>
      <c r="J98" s="16" t="s">
        <v>169</v>
      </c>
      <c r="K98" s="18" t="s">
        <v>20</v>
      </c>
      <c r="L98" s="18">
        <v>0</v>
      </c>
      <c r="M98" s="18"/>
      <c r="N98" s="19"/>
    </row>
    <row r="99" spans="1:14" ht="91.5" customHeight="1" thickBot="1" x14ac:dyDescent="0.3">
      <c r="A99" s="24" t="s">
        <v>170</v>
      </c>
      <c r="B99" s="25" t="s">
        <v>171</v>
      </c>
      <c r="C99" s="16" t="s">
        <v>172</v>
      </c>
      <c r="D99" s="16" t="s">
        <v>34</v>
      </c>
      <c r="E99" s="16"/>
      <c r="F99" s="26">
        <v>41.8</v>
      </c>
      <c r="G99" s="26">
        <v>41.8</v>
      </c>
      <c r="H99" s="26">
        <v>108.6</v>
      </c>
      <c r="I99" s="26">
        <v>27.6</v>
      </c>
      <c r="J99" s="16" t="s">
        <v>169</v>
      </c>
      <c r="K99" s="18" t="s">
        <v>20</v>
      </c>
      <c r="L99" s="18">
        <v>31</v>
      </c>
      <c r="M99" s="18">
        <v>81</v>
      </c>
      <c r="N99" s="19">
        <v>100</v>
      </c>
    </row>
    <row r="100" spans="1:14" ht="27.75" customHeight="1" thickBot="1" x14ac:dyDescent="0.3">
      <c r="A100" s="14" t="s">
        <v>173</v>
      </c>
      <c r="B100" s="89" t="s">
        <v>174</v>
      </c>
      <c r="C100" s="90"/>
      <c r="D100" s="90"/>
      <c r="E100" s="91"/>
      <c r="F100" s="15">
        <f>SUM(F101:F102)</f>
        <v>11.5</v>
      </c>
      <c r="G100" s="15">
        <f>SUM(G101:G102)</f>
        <v>11.5</v>
      </c>
      <c r="H100" s="15">
        <f>SUM(H101:H102)</f>
        <v>26.5</v>
      </c>
      <c r="I100" s="15">
        <f>SUM(I101:I102)</f>
        <v>35</v>
      </c>
      <c r="J100" s="71"/>
      <c r="K100" s="72"/>
      <c r="L100" s="72"/>
      <c r="M100" s="72"/>
      <c r="N100" s="73"/>
    </row>
    <row r="101" spans="1:14" ht="30.75" thickBot="1" x14ac:dyDescent="0.3">
      <c r="A101" s="24" t="s">
        <v>175</v>
      </c>
      <c r="B101" s="25" t="s">
        <v>176</v>
      </c>
      <c r="C101" s="16" t="s">
        <v>177</v>
      </c>
      <c r="D101" s="16" t="s">
        <v>34</v>
      </c>
      <c r="E101" s="16"/>
      <c r="F101" s="26">
        <v>1.5</v>
      </c>
      <c r="G101" s="26">
        <v>1.5</v>
      </c>
      <c r="H101" s="26">
        <v>11.5</v>
      </c>
      <c r="I101" s="26">
        <v>15</v>
      </c>
      <c r="J101" s="16" t="s">
        <v>178</v>
      </c>
      <c r="K101" s="18" t="s">
        <v>25</v>
      </c>
      <c r="L101" s="18">
        <v>1</v>
      </c>
      <c r="M101" s="18">
        <v>1</v>
      </c>
      <c r="N101" s="19">
        <v>1</v>
      </c>
    </row>
    <row r="102" spans="1:14" ht="30.75" thickBot="1" x14ac:dyDescent="0.3">
      <c r="A102" s="24" t="s">
        <v>179</v>
      </c>
      <c r="B102" s="25" t="s">
        <v>180</v>
      </c>
      <c r="C102" s="16" t="s">
        <v>177</v>
      </c>
      <c r="D102" s="16" t="s">
        <v>34</v>
      </c>
      <c r="E102" s="16"/>
      <c r="F102" s="26">
        <v>10</v>
      </c>
      <c r="G102" s="26">
        <v>10</v>
      </c>
      <c r="H102" s="26">
        <v>15</v>
      </c>
      <c r="I102" s="26">
        <v>20</v>
      </c>
      <c r="J102" s="16" t="s">
        <v>181</v>
      </c>
      <c r="K102" s="18" t="s">
        <v>25</v>
      </c>
      <c r="L102" s="18">
        <v>1</v>
      </c>
      <c r="M102" s="18">
        <v>1</v>
      </c>
      <c r="N102" s="19">
        <v>1</v>
      </c>
    </row>
    <row r="103" spans="1:14" ht="26.25" customHeight="1" thickBot="1" x14ac:dyDescent="0.3">
      <c r="A103" s="6" t="s">
        <v>182</v>
      </c>
      <c r="B103" s="7" t="s">
        <v>183</v>
      </c>
      <c r="C103" s="80" t="s">
        <v>184</v>
      </c>
      <c r="D103" s="81"/>
      <c r="E103" s="82"/>
      <c r="F103" s="8">
        <f>SUM(F104:F104)</f>
        <v>6740.3</v>
      </c>
      <c r="G103" s="8">
        <f>SUM(G104:G104)</f>
        <v>6740.3</v>
      </c>
      <c r="H103" s="8">
        <f>SUM(H104:H104)</f>
        <v>5444.7</v>
      </c>
      <c r="I103" s="8">
        <f>SUM(I104:I104)</f>
        <v>5456.9</v>
      </c>
      <c r="J103" s="83"/>
      <c r="K103" s="84"/>
      <c r="L103" s="84"/>
      <c r="M103" s="84"/>
      <c r="N103" s="85"/>
    </row>
    <row r="104" spans="1:14" ht="28.5" customHeight="1" thickBot="1" x14ac:dyDescent="0.3">
      <c r="A104" s="9" t="s">
        <v>185</v>
      </c>
      <c r="B104" s="86" t="s">
        <v>186</v>
      </c>
      <c r="C104" s="87"/>
      <c r="D104" s="87"/>
      <c r="E104" s="88"/>
      <c r="F104" s="10">
        <f>F105+F117+F124+F138+0.1</f>
        <v>6740.3</v>
      </c>
      <c r="G104" s="10">
        <f>G105+G117+G124+G138+0.1</f>
        <v>6740.3</v>
      </c>
      <c r="H104" s="10">
        <f>H105+H117+H124+H138</f>
        <v>5444.7</v>
      </c>
      <c r="I104" s="10">
        <f>I105+I117+I124+I138</f>
        <v>5456.9</v>
      </c>
      <c r="J104" s="11" t="s">
        <v>187</v>
      </c>
      <c r="K104" s="12" t="s">
        <v>188</v>
      </c>
      <c r="L104" s="34">
        <v>36000</v>
      </c>
      <c r="M104" s="34">
        <v>36000</v>
      </c>
      <c r="N104" s="35">
        <v>36000</v>
      </c>
    </row>
    <row r="105" spans="1:14" ht="29.25" customHeight="1" thickBot="1" x14ac:dyDescent="0.3">
      <c r="A105" s="14" t="s">
        <v>189</v>
      </c>
      <c r="B105" s="89" t="s">
        <v>190</v>
      </c>
      <c r="C105" s="90"/>
      <c r="D105" s="90"/>
      <c r="E105" s="91"/>
      <c r="F105" s="15">
        <f>F106+F109+F111+F114</f>
        <v>5959.9000000000005</v>
      </c>
      <c r="G105" s="15">
        <f>G106+G109+G111+G114</f>
        <v>5959.9000000000005</v>
      </c>
      <c r="H105" s="15">
        <f>H106+H109+H111+H114</f>
        <v>5014</v>
      </c>
      <c r="I105" s="15">
        <f>I106+I109+I111+I114</f>
        <v>5014</v>
      </c>
      <c r="J105" s="71"/>
      <c r="K105" s="72"/>
      <c r="L105" s="72"/>
      <c r="M105" s="72"/>
      <c r="N105" s="73"/>
    </row>
    <row r="106" spans="1:14" x14ac:dyDescent="0.25">
      <c r="A106" s="74" t="s">
        <v>191</v>
      </c>
      <c r="B106" s="77" t="s">
        <v>192</v>
      </c>
      <c r="C106" s="77" t="s">
        <v>193</v>
      </c>
      <c r="D106" s="16"/>
      <c r="E106" s="16" t="s">
        <v>194</v>
      </c>
      <c r="F106" s="17">
        <f>SUM(F107:F108)</f>
        <v>5098.1000000000004</v>
      </c>
      <c r="G106" s="17">
        <f>SUM(G107:G108)</f>
        <v>5098.1000000000004</v>
      </c>
      <c r="H106" s="17">
        <f>SUM(H107:H108)</f>
        <v>4900</v>
      </c>
      <c r="I106" s="17">
        <f>SUM(I107:I108)</f>
        <v>4900</v>
      </c>
      <c r="J106" s="16" t="s">
        <v>195</v>
      </c>
      <c r="K106" s="18" t="s">
        <v>188</v>
      </c>
      <c r="L106" s="36">
        <v>36000</v>
      </c>
      <c r="M106" s="36">
        <v>36000</v>
      </c>
      <c r="N106" s="37">
        <v>36000</v>
      </c>
    </row>
    <row r="107" spans="1:14" x14ac:dyDescent="0.25">
      <c r="A107" s="75"/>
      <c r="B107" s="78"/>
      <c r="C107" s="78"/>
      <c r="D107" s="20" t="s">
        <v>34</v>
      </c>
      <c r="E107" s="20"/>
      <c r="F107" s="21">
        <v>4900</v>
      </c>
      <c r="G107" s="21">
        <v>4900</v>
      </c>
      <c r="H107" s="21">
        <v>4900</v>
      </c>
      <c r="I107" s="21">
        <v>4900</v>
      </c>
      <c r="J107" s="20"/>
      <c r="K107" s="22"/>
      <c r="L107" s="22"/>
      <c r="M107" s="22"/>
      <c r="N107" s="23"/>
    </row>
    <row r="108" spans="1:14" ht="15.75" thickBot="1" x14ac:dyDescent="0.3">
      <c r="A108" s="76"/>
      <c r="B108" s="79"/>
      <c r="C108" s="79"/>
      <c r="D108" s="20" t="s">
        <v>32</v>
      </c>
      <c r="E108" s="20"/>
      <c r="F108" s="21">
        <v>198.1</v>
      </c>
      <c r="G108" s="21">
        <v>198.1</v>
      </c>
      <c r="H108" s="21">
        <v>0</v>
      </c>
      <c r="I108" s="21">
        <v>0</v>
      </c>
      <c r="J108" s="20"/>
      <c r="K108" s="22"/>
      <c r="L108" s="22"/>
      <c r="M108" s="22"/>
      <c r="N108" s="23"/>
    </row>
    <row r="109" spans="1:14" x14ac:dyDescent="0.25">
      <c r="A109" s="74" t="s">
        <v>196</v>
      </c>
      <c r="B109" s="77" t="s">
        <v>197</v>
      </c>
      <c r="C109" s="77" t="s">
        <v>184</v>
      </c>
      <c r="D109" s="16" t="s">
        <v>198</v>
      </c>
      <c r="E109" s="16"/>
      <c r="F109" s="17">
        <f>SUM(F110:F110)+114</f>
        <v>114</v>
      </c>
      <c r="G109" s="17">
        <f>SUM(G110:G110)+114</f>
        <v>114</v>
      </c>
      <c r="H109" s="17">
        <f>SUM(H110:H110)+114</f>
        <v>114</v>
      </c>
      <c r="I109" s="17">
        <f>SUM(I110:I110)+114</f>
        <v>114</v>
      </c>
      <c r="J109" s="16" t="s">
        <v>199</v>
      </c>
      <c r="K109" s="18" t="s">
        <v>20</v>
      </c>
      <c r="L109" s="18">
        <v>100</v>
      </c>
      <c r="M109" s="18">
        <v>100</v>
      </c>
      <c r="N109" s="19">
        <v>100</v>
      </c>
    </row>
    <row r="110" spans="1:14" ht="15.75" thickBot="1" x14ac:dyDescent="0.3">
      <c r="A110" s="76"/>
      <c r="B110" s="79"/>
      <c r="C110" s="79"/>
      <c r="D110" s="20"/>
      <c r="E110" s="20"/>
      <c r="F110" s="21">
        <v>0</v>
      </c>
      <c r="G110" s="21">
        <v>0</v>
      </c>
      <c r="H110" s="21">
        <v>0</v>
      </c>
      <c r="I110" s="21">
        <v>0</v>
      </c>
      <c r="J110" s="20" t="s">
        <v>200</v>
      </c>
      <c r="K110" s="22" t="s">
        <v>188</v>
      </c>
      <c r="L110" s="22">
        <v>100</v>
      </c>
      <c r="M110" s="22">
        <v>100</v>
      </c>
      <c r="N110" s="23">
        <v>100</v>
      </c>
    </row>
    <row r="111" spans="1:14" ht="37.5" customHeight="1" x14ac:dyDescent="0.25">
      <c r="A111" s="74" t="s">
        <v>201</v>
      </c>
      <c r="B111" s="77" t="s">
        <v>202</v>
      </c>
      <c r="C111" s="77" t="s">
        <v>203</v>
      </c>
      <c r="D111" s="16"/>
      <c r="E111" s="16"/>
      <c r="F111" s="17">
        <f>SUM(F112:F113)</f>
        <v>278.60000000000002</v>
      </c>
      <c r="G111" s="17">
        <f>SUM(G112:G113)</f>
        <v>278.60000000000002</v>
      </c>
      <c r="H111" s="17">
        <f>SUM(H112:H113)</f>
        <v>0</v>
      </c>
      <c r="I111" s="17">
        <f>SUM(I112:I113)</f>
        <v>0</v>
      </c>
      <c r="J111" s="16" t="s">
        <v>204</v>
      </c>
      <c r="K111" s="18" t="s">
        <v>25</v>
      </c>
      <c r="L111" s="18">
        <v>1</v>
      </c>
      <c r="M111" s="18"/>
      <c r="N111" s="19"/>
    </row>
    <row r="112" spans="1:14" x14ac:dyDescent="0.25">
      <c r="A112" s="75"/>
      <c r="B112" s="78"/>
      <c r="C112" s="78"/>
      <c r="D112" s="20" t="s">
        <v>34</v>
      </c>
      <c r="E112" s="20"/>
      <c r="F112" s="21">
        <v>50</v>
      </c>
      <c r="G112" s="21">
        <v>50</v>
      </c>
      <c r="H112" s="21">
        <v>0</v>
      </c>
      <c r="I112" s="21">
        <v>0</v>
      </c>
      <c r="J112" s="20" t="s">
        <v>205</v>
      </c>
      <c r="K112" s="22" t="s">
        <v>25</v>
      </c>
      <c r="L112" s="22">
        <v>2</v>
      </c>
      <c r="M112" s="22"/>
      <c r="N112" s="23"/>
    </row>
    <row r="113" spans="1:14" ht="15.75" thickBot="1" x14ac:dyDescent="0.3">
      <c r="A113" s="76"/>
      <c r="B113" s="79"/>
      <c r="C113" s="79"/>
      <c r="D113" s="20" t="s">
        <v>32</v>
      </c>
      <c r="E113" s="20"/>
      <c r="F113" s="21">
        <v>228.6</v>
      </c>
      <c r="G113" s="21">
        <v>228.6</v>
      </c>
      <c r="H113" s="21"/>
      <c r="I113" s="21"/>
      <c r="J113" s="20"/>
      <c r="K113" s="22"/>
      <c r="L113" s="22"/>
      <c r="M113" s="22"/>
      <c r="N113" s="23"/>
    </row>
    <row r="114" spans="1:14" ht="36.75" customHeight="1" x14ac:dyDescent="0.25">
      <c r="A114" s="74" t="s">
        <v>206</v>
      </c>
      <c r="B114" s="77" t="s">
        <v>207</v>
      </c>
      <c r="C114" s="77" t="s">
        <v>203</v>
      </c>
      <c r="D114" s="16"/>
      <c r="E114" s="16"/>
      <c r="F114" s="17">
        <f>SUM(F115:F116)</f>
        <v>469.2</v>
      </c>
      <c r="G114" s="17">
        <f>SUM(G115:G116)</f>
        <v>469.2</v>
      </c>
      <c r="H114" s="17">
        <f>SUM(H115:H116)</f>
        <v>0</v>
      </c>
      <c r="I114" s="17">
        <f>SUM(I115:I116)</f>
        <v>0</v>
      </c>
      <c r="J114" s="16" t="s">
        <v>208</v>
      </c>
      <c r="K114" s="18" t="s">
        <v>209</v>
      </c>
      <c r="L114" s="18">
        <v>1</v>
      </c>
      <c r="M114" s="18"/>
      <c r="N114" s="19"/>
    </row>
    <row r="115" spans="1:14" x14ac:dyDescent="0.25">
      <c r="A115" s="75"/>
      <c r="B115" s="78"/>
      <c r="C115" s="78"/>
      <c r="D115" s="20" t="s">
        <v>34</v>
      </c>
      <c r="E115" s="20"/>
      <c r="F115" s="21">
        <v>300</v>
      </c>
      <c r="G115" s="21">
        <v>300</v>
      </c>
      <c r="H115" s="21">
        <v>0</v>
      </c>
      <c r="I115" s="21">
        <v>0</v>
      </c>
      <c r="J115" s="20" t="s">
        <v>210</v>
      </c>
      <c r="K115" s="22" t="s">
        <v>25</v>
      </c>
      <c r="L115" s="22">
        <v>1</v>
      </c>
      <c r="M115" s="22"/>
      <c r="N115" s="23"/>
    </row>
    <row r="116" spans="1:14" ht="15.75" thickBot="1" x14ac:dyDescent="0.3">
      <c r="A116" s="76"/>
      <c r="B116" s="79"/>
      <c r="C116" s="79"/>
      <c r="D116" s="20" t="s">
        <v>32</v>
      </c>
      <c r="E116" s="20"/>
      <c r="F116" s="21">
        <v>169.2</v>
      </c>
      <c r="G116" s="21">
        <v>169.2</v>
      </c>
      <c r="H116" s="21"/>
      <c r="I116" s="21"/>
      <c r="J116" s="20"/>
      <c r="K116" s="22"/>
      <c r="L116" s="22"/>
      <c r="M116" s="22"/>
      <c r="N116" s="23"/>
    </row>
    <row r="117" spans="1:14" ht="28.5" customHeight="1" thickBot="1" x14ac:dyDescent="0.3">
      <c r="A117" s="14" t="s">
        <v>211</v>
      </c>
      <c r="B117" s="89" t="s">
        <v>212</v>
      </c>
      <c r="C117" s="90"/>
      <c r="D117" s="90"/>
      <c r="E117" s="91"/>
      <c r="F117" s="15">
        <f>F118+F120</f>
        <v>300.39999999999998</v>
      </c>
      <c r="G117" s="15">
        <f>G118+G120</f>
        <v>300.39999999999998</v>
      </c>
      <c r="H117" s="15">
        <f>H118+H120</f>
        <v>10</v>
      </c>
      <c r="I117" s="15">
        <f>I118+I120</f>
        <v>10</v>
      </c>
      <c r="J117" s="71"/>
      <c r="K117" s="72"/>
      <c r="L117" s="72"/>
      <c r="M117" s="72"/>
      <c r="N117" s="73"/>
    </row>
    <row r="118" spans="1:14" ht="30" x14ac:dyDescent="0.25">
      <c r="A118" s="74" t="s">
        <v>213</v>
      </c>
      <c r="B118" s="77" t="s">
        <v>214</v>
      </c>
      <c r="C118" s="77" t="s">
        <v>184</v>
      </c>
      <c r="D118" s="16" t="s">
        <v>215</v>
      </c>
      <c r="E118" s="16"/>
      <c r="F118" s="17">
        <f>SUM(F119:F119)+50</f>
        <v>50</v>
      </c>
      <c r="G118" s="17">
        <f>SUM(G119:G119)+50</f>
        <v>50</v>
      </c>
      <c r="H118" s="17">
        <f>SUM(H119:H119)</f>
        <v>0</v>
      </c>
      <c r="I118" s="17">
        <f>SUM(I119:I119)</f>
        <v>0</v>
      </c>
      <c r="J118" s="16" t="s">
        <v>216</v>
      </c>
      <c r="K118" s="18" t="s">
        <v>25</v>
      </c>
      <c r="L118" s="18">
        <v>1</v>
      </c>
      <c r="M118" s="18"/>
      <c r="N118" s="19"/>
    </row>
    <row r="119" spans="1:14" ht="15.75" thickBot="1" x14ac:dyDescent="0.3">
      <c r="A119" s="76"/>
      <c r="B119" s="79"/>
      <c r="C119" s="79"/>
      <c r="D119" s="20"/>
      <c r="E119" s="20"/>
      <c r="F119" s="21">
        <v>0</v>
      </c>
      <c r="G119" s="21">
        <v>0</v>
      </c>
      <c r="H119" s="21">
        <v>0</v>
      </c>
      <c r="I119" s="21">
        <v>0</v>
      </c>
      <c r="J119" s="20" t="s">
        <v>217</v>
      </c>
      <c r="K119" s="22" t="s">
        <v>25</v>
      </c>
      <c r="L119" s="22">
        <v>1</v>
      </c>
      <c r="M119" s="22"/>
      <c r="N119" s="23"/>
    </row>
    <row r="120" spans="1:14" ht="54" customHeight="1" x14ac:dyDescent="0.25">
      <c r="A120" s="74" t="s">
        <v>218</v>
      </c>
      <c r="B120" s="77" t="s">
        <v>219</v>
      </c>
      <c r="C120" s="77" t="s">
        <v>184</v>
      </c>
      <c r="D120" s="16"/>
      <c r="E120" s="16"/>
      <c r="F120" s="17">
        <f>SUM(F121:F123)</f>
        <v>250.4</v>
      </c>
      <c r="G120" s="17">
        <f>SUM(G121:G123)</f>
        <v>250.4</v>
      </c>
      <c r="H120" s="17">
        <f>SUM(H121:H123)</f>
        <v>10</v>
      </c>
      <c r="I120" s="17">
        <f>SUM(I121:I123)</f>
        <v>10</v>
      </c>
      <c r="J120" s="16" t="s">
        <v>220</v>
      </c>
      <c r="K120" s="18" t="s">
        <v>20</v>
      </c>
      <c r="L120" s="18">
        <v>100</v>
      </c>
      <c r="M120" s="18">
        <v>100</v>
      </c>
      <c r="N120" s="19">
        <v>100</v>
      </c>
    </row>
    <row r="121" spans="1:14" x14ac:dyDescent="0.25">
      <c r="A121" s="75"/>
      <c r="B121" s="78"/>
      <c r="C121" s="78"/>
      <c r="D121" s="20" t="s">
        <v>215</v>
      </c>
      <c r="E121" s="20"/>
      <c r="F121" s="21">
        <v>240.4</v>
      </c>
      <c r="G121" s="21">
        <v>240.4</v>
      </c>
      <c r="H121" s="21">
        <v>0</v>
      </c>
      <c r="I121" s="21">
        <v>0</v>
      </c>
      <c r="J121" s="20" t="s">
        <v>221</v>
      </c>
      <c r="K121" s="22" t="s">
        <v>222</v>
      </c>
      <c r="L121" s="31">
        <v>7000</v>
      </c>
      <c r="M121" s="31">
        <v>7000</v>
      </c>
      <c r="N121" s="32">
        <v>7000</v>
      </c>
    </row>
    <row r="122" spans="1:14" x14ac:dyDescent="0.25">
      <c r="A122" s="75"/>
      <c r="B122" s="78"/>
      <c r="C122" s="78"/>
      <c r="D122" s="20" t="s">
        <v>198</v>
      </c>
      <c r="E122" s="20"/>
      <c r="F122" s="21">
        <v>10</v>
      </c>
      <c r="G122" s="21">
        <v>10</v>
      </c>
      <c r="H122" s="21">
        <v>10</v>
      </c>
      <c r="I122" s="21">
        <v>10</v>
      </c>
      <c r="J122" s="20" t="s">
        <v>223</v>
      </c>
      <c r="K122" s="22" t="s">
        <v>25</v>
      </c>
      <c r="L122" s="22">
        <v>100</v>
      </c>
      <c r="M122" s="22">
        <v>100</v>
      </c>
      <c r="N122" s="23">
        <v>100</v>
      </c>
    </row>
    <row r="123" spans="1:14" ht="30.75" thickBot="1" x14ac:dyDescent="0.3">
      <c r="A123" s="76"/>
      <c r="B123" s="79"/>
      <c r="C123" s="79"/>
      <c r="D123" s="20"/>
      <c r="E123" s="20"/>
      <c r="F123" s="21">
        <v>0</v>
      </c>
      <c r="G123" s="21">
        <v>0</v>
      </c>
      <c r="H123" s="21">
        <v>0</v>
      </c>
      <c r="I123" s="21">
        <v>0</v>
      </c>
      <c r="J123" s="20" t="s">
        <v>224</v>
      </c>
      <c r="K123" s="22" t="s">
        <v>222</v>
      </c>
      <c r="L123" s="31">
        <v>10000</v>
      </c>
      <c r="M123" s="31">
        <v>10000</v>
      </c>
      <c r="N123" s="32">
        <v>10000</v>
      </c>
    </row>
    <row r="124" spans="1:14" ht="29.25" customHeight="1" thickBot="1" x14ac:dyDescent="0.3">
      <c r="A124" s="14" t="s">
        <v>225</v>
      </c>
      <c r="B124" s="89" t="s">
        <v>226</v>
      </c>
      <c r="C124" s="90"/>
      <c r="D124" s="90"/>
      <c r="E124" s="91"/>
      <c r="F124" s="15">
        <f>F125+F128+F132+F136+F137</f>
        <v>468.9</v>
      </c>
      <c r="G124" s="15">
        <f>G125+G128+G132+G136+G137</f>
        <v>468.9</v>
      </c>
      <c r="H124" s="15">
        <f>H125+H128+H132+H136+H137</f>
        <v>409.7</v>
      </c>
      <c r="I124" s="15">
        <f>I125+I128+I132+I136+I137</f>
        <v>421.9</v>
      </c>
      <c r="J124" s="71"/>
      <c r="K124" s="72"/>
      <c r="L124" s="72"/>
      <c r="M124" s="72"/>
      <c r="N124" s="73"/>
    </row>
    <row r="125" spans="1:14" x14ac:dyDescent="0.25">
      <c r="A125" s="74" t="s">
        <v>227</v>
      </c>
      <c r="B125" s="77" t="s">
        <v>228</v>
      </c>
      <c r="C125" s="77" t="s">
        <v>184</v>
      </c>
      <c r="D125" s="16"/>
      <c r="E125" s="16"/>
      <c r="F125" s="17">
        <f>SUM(F126:F127)</f>
        <v>170</v>
      </c>
      <c r="G125" s="17">
        <f>SUM(G126:G127)</f>
        <v>170</v>
      </c>
      <c r="H125" s="17">
        <f>SUM(H126:H127)</f>
        <v>170</v>
      </c>
      <c r="I125" s="17">
        <f>SUM(I126:I127)</f>
        <v>170</v>
      </c>
      <c r="J125" s="16" t="s">
        <v>229</v>
      </c>
      <c r="K125" s="18" t="s">
        <v>25</v>
      </c>
      <c r="L125" s="18">
        <v>70</v>
      </c>
      <c r="M125" s="18">
        <v>70</v>
      </c>
      <c r="N125" s="19">
        <v>70</v>
      </c>
    </row>
    <row r="126" spans="1:14" ht="27.75" customHeight="1" x14ac:dyDescent="0.25">
      <c r="A126" s="75"/>
      <c r="B126" s="78"/>
      <c r="C126" s="78"/>
      <c r="D126" s="20" t="s">
        <v>34</v>
      </c>
      <c r="E126" s="20"/>
      <c r="F126" s="21">
        <v>50</v>
      </c>
      <c r="G126" s="21">
        <v>50</v>
      </c>
      <c r="H126" s="21">
        <v>50</v>
      </c>
      <c r="I126" s="21">
        <v>50</v>
      </c>
      <c r="J126" s="20" t="s">
        <v>230</v>
      </c>
      <c r="K126" s="22" t="s">
        <v>20</v>
      </c>
      <c r="L126" s="22">
        <v>30</v>
      </c>
      <c r="M126" s="22">
        <v>50</v>
      </c>
      <c r="N126" s="23">
        <v>100</v>
      </c>
    </row>
    <row r="127" spans="1:14" ht="15.75" thickBot="1" x14ac:dyDescent="0.3">
      <c r="A127" s="76"/>
      <c r="B127" s="79"/>
      <c r="C127" s="79"/>
      <c r="D127" s="20" t="s">
        <v>198</v>
      </c>
      <c r="E127" s="20"/>
      <c r="F127" s="21">
        <v>120</v>
      </c>
      <c r="G127" s="21">
        <v>120</v>
      </c>
      <c r="H127" s="21">
        <v>120</v>
      </c>
      <c r="I127" s="21">
        <v>120</v>
      </c>
      <c r="J127" s="20" t="s">
        <v>231</v>
      </c>
      <c r="K127" s="22" t="s">
        <v>25</v>
      </c>
      <c r="L127" s="22">
        <v>40</v>
      </c>
      <c r="M127" s="22">
        <v>40</v>
      </c>
      <c r="N127" s="23">
        <v>40</v>
      </c>
    </row>
    <row r="128" spans="1:14" ht="27.75" customHeight="1" x14ac:dyDescent="0.25">
      <c r="A128" s="74" t="s">
        <v>232</v>
      </c>
      <c r="B128" s="77" t="s">
        <v>233</v>
      </c>
      <c r="C128" s="77" t="s">
        <v>234</v>
      </c>
      <c r="D128" s="16"/>
      <c r="E128" s="16"/>
      <c r="F128" s="17">
        <f>SUM(F129:F131)</f>
        <v>183.9</v>
      </c>
      <c r="G128" s="17">
        <f>SUM(G129:G131)</f>
        <v>183.9</v>
      </c>
      <c r="H128" s="17">
        <f>SUM(H129:H131)</f>
        <v>124.7</v>
      </c>
      <c r="I128" s="17">
        <f>SUM(I129:I131)</f>
        <v>136.9</v>
      </c>
      <c r="J128" s="16" t="s">
        <v>235</v>
      </c>
      <c r="K128" s="18" t="s">
        <v>25</v>
      </c>
      <c r="L128" s="18">
        <v>1</v>
      </c>
      <c r="M128" s="18">
        <v>1</v>
      </c>
      <c r="N128" s="19">
        <v>1</v>
      </c>
    </row>
    <row r="129" spans="1:14" x14ac:dyDescent="0.25">
      <c r="A129" s="75"/>
      <c r="B129" s="78"/>
      <c r="C129" s="78"/>
      <c r="D129" s="20" t="s">
        <v>32</v>
      </c>
      <c r="E129" s="20"/>
      <c r="F129" s="21">
        <v>65</v>
      </c>
      <c r="G129" s="21">
        <v>65</v>
      </c>
      <c r="H129" s="21">
        <v>0</v>
      </c>
      <c r="I129" s="21">
        <v>0</v>
      </c>
      <c r="J129" s="20" t="s">
        <v>236</v>
      </c>
      <c r="K129" s="22" t="s">
        <v>25</v>
      </c>
      <c r="L129" s="22">
        <v>1</v>
      </c>
      <c r="M129" s="22">
        <v>1</v>
      </c>
      <c r="N129" s="23">
        <v>1</v>
      </c>
    </row>
    <row r="130" spans="1:14" x14ac:dyDescent="0.25">
      <c r="A130" s="75"/>
      <c r="B130" s="78"/>
      <c r="C130" s="78"/>
      <c r="D130" s="20" t="s">
        <v>34</v>
      </c>
      <c r="E130" s="20"/>
      <c r="F130" s="21">
        <v>115.9</v>
      </c>
      <c r="G130" s="21">
        <v>115.9</v>
      </c>
      <c r="H130" s="21">
        <v>121.7</v>
      </c>
      <c r="I130" s="21">
        <v>133.9</v>
      </c>
      <c r="J130" s="20"/>
      <c r="K130" s="22"/>
      <c r="L130" s="22"/>
      <c r="M130" s="22"/>
      <c r="N130" s="23"/>
    </row>
    <row r="131" spans="1:14" ht="15.75" thickBot="1" x14ac:dyDescent="0.3">
      <c r="A131" s="76"/>
      <c r="B131" s="79"/>
      <c r="C131" s="79"/>
      <c r="D131" s="20" t="s">
        <v>125</v>
      </c>
      <c r="E131" s="20"/>
      <c r="F131" s="21">
        <v>3</v>
      </c>
      <c r="G131" s="21">
        <v>3</v>
      </c>
      <c r="H131" s="21">
        <v>3</v>
      </c>
      <c r="I131" s="21">
        <v>3</v>
      </c>
      <c r="J131" s="20"/>
      <c r="K131" s="22"/>
      <c r="L131" s="22"/>
      <c r="M131" s="22"/>
      <c r="N131" s="23"/>
    </row>
    <row r="132" spans="1:14" ht="30" x14ac:dyDescent="0.25">
      <c r="A132" s="74" t="s">
        <v>237</v>
      </c>
      <c r="B132" s="77" t="s">
        <v>238</v>
      </c>
      <c r="C132" s="77" t="s">
        <v>184</v>
      </c>
      <c r="D132" s="16" t="s">
        <v>198</v>
      </c>
      <c r="E132" s="16"/>
      <c r="F132" s="17">
        <f>SUM(F133:F135)+100</f>
        <v>100</v>
      </c>
      <c r="G132" s="17">
        <f>SUM(G133:G135)+100</f>
        <v>100</v>
      </c>
      <c r="H132" s="17">
        <f>SUM(H133:H135)+100</f>
        <v>100</v>
      </c>
      <c r="I132" s="17">
        <f>SUM(I133:I135)+100</f>
        <v>100</v>
      </c>
      <c r="J132" s="16" t="s">
        <v>239</v>
      </c>
      <c r="K132" s="18" t="s">
        <v>188</v>
      </c>
      <c r="L132" s="18">
        <v>230</v>
      </c>
      <c r="M132" s="18">
        <v>230</v>
      </c>
      <c r="N132" s="19">
        <v>230</v>
      </c>
    </row>
    <row r="133" spans="1:14" ht="30" x14ac:dyDescent="0.25">
      <c r="A133" s="75"/>
      <c r="B133" s="78"/>
      <c r="C133" s="78"/>
      <c r="D133" s="20"/>
      <c r="E133" s="20"/>
      <c r="F133" s="21">
        <v>0</v>
      </c>
      <c r="G133" s="21">
        <v>0</v>
      </c>
      <c r="H133" s="21">
        <v>0</v>
      </c>
      <c r="I133" s="21">
        <v>0</v>
      </c>
      <c r="J133" s="20" t="s">
        <v>240</v>
      </c>
      <c r="K133" s="22" t="s">
        <v>20</v>
      </c>
      <c r="L133" s="22">
        <v>30</v>
      </c>
      <c r="M133" s="22">
        <v>100</v>
      </c>
      <c r="N133" s="23"/>
    </row>
    <row r="134" spans="1:14" ht="30" x14ac:dyDescent="0.25">
      <c r="A134" s="75"/>
      <c r="B134" s="78"/>
      <c r="C134" s="78"/>
      <c r="D134" s="20"/>
      <c r="E134" s="20"/>
      <c r="F134" s="21">
        <v>0</v>
      </c>
      <c r="G134" s="21">
        <v>0</v>
      </c>
      <c r="H134" s="21">
        <v>0</v>
      </c>
      <c r="I134" s="21">
        <v>0</v>
      </c>
      <c r="J134" s="20" t="s">
        <v>241</v>
      </c>
      <c r="K134" s="22" t="s">
        <v>242</v>
      </c>
      <c r="L134" s="31">
        <v>15000</v>
      </c>
      <c r="M134" s="31">
        <v>15000</v>
      </c>
      <c r="N134" s="32">
        <v>15000</v>
      </c>
    </row>
    <row r="135" spans="1:14" ht="45.75" thickBot="1" x14ac:dyDescent="0.3">
      <c r="A135" s="76"/>
      <c r="B135" s="79"/>
      <c r="C135" s="79"/>
      <c r="D135" s="20"/>
      <c r="E135" s="20"/>
      <c r="F135" s="21">
        <v>0</v>
      </c>
      <c r="G135" s="21">
        <v>0</v>
      </c>
      <c r="H135" s="21">
        <v>0</v>
      </c>
      <c r="I135" s="21">
        <v>0</v>
      </c>
      <c r="J135" s="20" t="s">
        <v>243</v>
      </c>
      <c r="K135" s="22" t="s">
        <v>25</v>
      </c>
      <c r="L135" s="22">
        <v>1</v>
      </c>
      <c r="M135" s="22">
        <v>1</v>
      </c>
      <c r="N135" s="23"/>
    </row>
    <row r="136" spans="1:14" ht="45.75" thickBot="1" x14ac:dyDescent="0.3">
      <c r="A136" s="24" t="s">
        <v>244</v>
      </c>
      <c r="B136" s="25" t="s">
        <v>245</v>
      </c>
      <c r="C136" s="16" t="s">
        <v>246</v>
      </c>
      <c r="D136" s="16" t="s">
        <v>198</v>
      </c>
      <c r="E136" s="16"/>
      <c r="F136" s="26">
        <v>5</v>
      </c>
      <c r="G136" s="26">
        <v>5</v>
      </c>
      <c r="H136" s="26">
        <v>5</v>
      </c>
      <c r="I136" s="26">
        <v>5</v>
      </c>
      <c r="J136" s="16" t="s">
        <v>247</v>
      </c>
      <c r="K136" s="18" t="s">
        <v>20</v>
      </c>
      <c r="L136" s="18">
        <v>100</v>
      </c>
      <c r="M136" s="18">
        <v>100</v>
      </c>
      <c r="N136" s="19">
        <v>100</v>
      </c>
    </row>
    <row r="137" spans="1:14" ht="105.75" thickBot="1" x14ac:dyDescent="0.3">
      <c r="A137" s="24" t="s">
        <v>248</v>
      </c>
      <c r="B137" s="25" t="s">
        <v>249</v>
      </c>
      <c r="C137" s="16" t="s">
        <v>184</v>
      </c>
      <c r="D137" s="16" t="s">
        <v>34</v>
      </c>
      <c r="E137" s="16"/>
      <c r="F137" s="26">
        <v>10</v>
      </c>
      <c r="G137" s="26">
        <v>10</v>
      </c>
      <c r="H137" s="26">
        <v>10</v>
      </c>
      <c r="I137" s="26">
        <v>10</v>
      </c>
      <c r="J137" s="16" t="s">
        <v>250</v>
      </c>
      <c r="K137" s="18" t="s">
        <v>251</v>
      </c>
      <c r="L137" s="18">
        <v>18</v>
      </c>
      <c r="M137" s="18">
        <v>18</v>
      </c>
      <c r="N137" s="19">
        <v>18</v>
      </c>
    </row>
    <row r="138" spans="1:14" ht="30" customHeight="1" thickBot="1" x14ac:dyDescent="0.3">
      <c r="A138" s="14" t="s">
        <v>252</v>
      </c>
      <c r="B138" s="89" t="s">
        <v>253</v>
      </c>
      <c r="C138" s="90"/>
      <c r="D138" s="90"/>
      <c r="E138" s="91"/>
      <c r="F138" s="15">
        <f>SUM(F139:F140)</f>
        <v>11</v>
      </c>
      <c r="G138" s="15">
        <f>SUM(G139:G140)</f>
        <v>11</v>
      </c>
      <c r="H138" s="15">
        <f>SUM(H139:H140)</f>
        <v>11</v>
      </c>
      <c r="I138" s="15">
        <f>SUM(I139:I140)</f>
        <v>11</v>
      </c>
      <c r="J138" s="71"/>
      <c r="K138" s="72"/>
      <c r="L138" s="72"/>
      <c r="M138" s="72"/>
      <c r="N138" s="73"/>
    </row>
    <row r="139" spans="1:14" ht="45.75" thickBot="1" x14ac:dyDescent="0.3">
      <c r="A139" s="24" t="s">
        <v>254</v>
      </c>
      <c r="B139" s="25" t="s">
        <v>255</v>
      </c>
      <c r="C139" s="16" t="s">
        <v>184</v>
      </c>
      <c r="D139" s="16" t="s">
        <v>198</v>
      </c>
      <c r="E139" s="16"/>
      <c r="F139" s="26">
        <v>8</v>
      </c>
      <c r="G139" s="26">
        <v>8</v>
      </c>
      <c r="H139" s="26">
        <v>8</v>
      </c>
      <c r="I139" s="26">
        <v>8</v>
      </c>
      <c r="J139" s="16" t="s">
        <v>256</v>
      </c>
      <c r="K139" s="18" t="s">
        <v>25</v>
      </c>
      <c r="L139" s="18">
        <v>5</v>
      </c>
      <c r="M139" s="18">
        <v>5</v>
      </c>
      <c r="N139" s="19">
        <v>5</v>
      </c>
    </row>
    <row r="140" spans="1:14" x14ac:dyDescent="0.25">
      <c r="A140" s="74" t="s">
        <v>257</v>
      </c>
      <c r="B140" s="77" t="s">
        <v>258</v>
      </c>
      <c r="C140" s="77" t="s">
        <v>184</v>
      </c>
      <c r="D140" s="16" t="s">
        <v>198</v>
      </c>
      <c r="E140" s="16"/>
      <c r="F140" s="17">
        <f>SUM(F141:F142)+3</f>
        <v>3</v>
      </c>
      <c r="G140" s="17">
        <f>SUM(G141:G142)+3</f>
        <v>3</v>
      </c>
      <c r="H140" s="17">
        <f>SUM(H141:H142)+3</f>
        <v>3</v>
      </c>
      <c r="I140" s="17">
        <f>SUM(I141:I142)+3</f>
        <v>3</v>
      </c>
      <c r="J140" s="16" t="s">
        <v>259</v>
      </c>
      <c r="K140" s="18" t="s">
        <v>25</v>
      </c>
      <c r="L140" s="18">
        <v>40</v>
      </c>
      <c r="M140" s="18">
        <v>40</v>
      </c>
      <c r="N140" s="19">
        <v>40</v>
      </c>
    </row>
    <row r="141" spans="1:14" ht="30" x14ac:dyDescent="0.25">
      <c r="A141" s="75"/>
      <c r="B141" s="78"/>
      <c r="C141" s="78"/>
      <c r="D141" s="20"/>
      <c r="E141" s="20"/>
      <c r="F141" s="21">
        <v>0</v>
      </c>
      <c r="G141" s="21">
        <v>0</v>
      </c>
      <c r="H141" s="21">
        <v>0</v>
      </c>
      <c r="I141" s="21">
        <v>0</v>
      </c>
      <c r="J141" s="20" t="s">
        <v>260</v>
      </c>
      <c r="K141" s="22" t="s">
        <v>25</v>
      </c>
      <c r="L141" s="22">
        <v>2</v>
      </c>
      <c r="M141" s="22">
        <v>2</v>
      </c>
      <c r="N141" s="23">
        <v>2</v>
      </c>
    </row>
    <row r="142" spans="1:14" ht="30.75" thickBot="1" x14ac:dyDescent="0.3">
      <c r="A142" s="76"/>
      <c r="B142" s="79"/>
      <c r="C142" s="79"/>
      <c r="D142" s="20"/>
      <c r="E142" s="20"/>
      <c r="F142" s="21">
        <v>0</v>
      </c>
      <c r="G142" s="21">
        <v>0</v>
      </c>
      <c r="H142" s="21">
        <v>0</v>
      </c>
      <c r="I142" s="21">
        <v>0</v>
      </c>
      <c r="J142" s="20" t="s">
        <v>261</v>
      </c>
      <c r="K142" s="22" t="s">
        <v>25</v>
      </c>
      <c r="L142" s="22">
        <v>2</v>
      </c>
      <c r="M142" s="22">
        <v>2</v>
      </c>
      <c r="N142" s="23">
        <v>2</v>
      </c>
    </row>
    <row r="143" spans="1:14" ht="45.75" thickBot="1" x14ac:dyDescent="0.3">
      <c r="A143" s="6" t="s">
        <v>262</v>
      </c>
      <c r="B143" s="7" t="s">
        <v>263</v>
      </c>
      <c r="C143" s="80" t="s">
        <v>184</v>
      </c>
      <c r="D143" s="81"/>
      <c r="E143" s="82"/>
      <c r="F143" s="8">
        <f>F144+F183</f>
        <v>37707.399999999994</v>
      </c>
      <c r="G143" s="8">
        <f>G144+G183</f>
        <v>38556.800000000003</v>
      </c>
      <c r="H143" s="8">
        <f>H144+H183</f>
        <v>40455</v>
      </c>
      <c r="I143" s="8">
        <f>I144+I183</f>
        <v>44985.8</v>
      </c>
      <c r="J143" s="38" t="s">
        <v>263</v>
      </c>
      <c r="K143" s="39" t="s">
        <v>20</v>
      </c>
      <c r="L143" s="39">
        <v>100</v>
      </c>
      <c r="M143" s="39">
        <v>100</v>
      </c>
      <c r="N143" s="40">
        <v>100</v>
      </c>
    </row>
    <row r="144" spans="1:14" ht="28.5" customHeight="1" thickBot="1" x14ac:dyDescent="0.3">
      <c r="A144" s="9" t="s">
        <v>264</v>
      </c>
      <c r="B144" s="86" t="s">
        <v>265</v>
      </c>
      <c r="C144" s="87"/>
      <c r="D144" s="87"/>
      <c r="E144" s="88"/>
      <c r="F144" s="10">
        <f>F145+F154+F165+0.1</f>
        <v>12682</v>
      </c>
      <c r="G144" s="10">
        <f>G145+G154+G165</f>
        <v>12682</v>
      </c>
      <c r="H144" s="10">
        <f>H145+H154+H165</f>
        <v>18240.2</v>
      </c>
      <c r="I144" s="10">
        <f>I145+I154+I165</f>
        <v>24541</v>
      </c>
      <c r="J144" s="11" t="s">
        <v>266</v>
      </c>
      <c r="K144" s="12" t="s">
        <v>20</v>
      </c>
      <c r="L144" s="12">
        <v>100</v>
      </c>
      <c r="M144" s="12">
        <v>100</v>
      </c>
      <c r="N144" s="13">
        <v>100</v>
      </c>
    </row>
    <row r="145" spans="1:14" ht="26.25" customHeight="1" thickBot="1" x14ac:dyDescent="0.3">
      <c r="A145" s="14" t="s">
        <v>267</v>
      </c>
      <c r="B145" s="89" t="s">
        <v>268</v>
      </c>
      <c r="C145" s="90"/>
      <c r="D145" s="90"/>
      <c r="E145" s="91"/>
      <c r="F145" s="15">
        <f>F146+F150+F151</f>
        <v>8638.7999999999993</v>
      </c>
      <c r="G145" s="15">
        <f>G146+G150+G151</f>
        <v>8638.7999999999993</v>
      </c>
      <c r="H145" s="15">
        <f>H146+H150+H151</f>
        <v>11956.2</v>
      </c>
      <c r="I145" s="15">
        <f>I146+I150+I151</f>
        <v>22637</v>
      </c>
      <c r="J145" s="71"/>
      <c r="K145" s="72"/>
      <c r="L145" s="72"/>
      <c r="M145" s="72"/>
      <c r="N145" s="73"/>
    </row>
    <row r="146" spans="1:14" ht="92.25" customHeight="1" x14ac:dyDescent="0.25">
      <c r="A146" s="74" t="s">
        <v>269</v>
      </c>
      <c r="B146" s="77" t="s">
        <v>270</v>
      </c>
      <c r="C146" s="77" t="s">
        <v>271</v>
      </c>
      <c r="D146" s="16"/>
      <c r="E146" s="16"/>
      <c r="F146" s="17">
        <f>SUM(F147:F149)</f>
        <v>7838.8</v>
      </c>
      <c r="G146" s="17">
        <f>SUM(G147:G149)</f>
        <v>7838.8</v>
      </c>
      <c r="H146" s="17">
        <f>SUM(H147:H149)</f>
        <v>7484.1</v>
      </c>
      <c r="I146" s="17">
        <f>SUM(I147:I149)</f>
        <v>7561.6</v>
      </c>
      <c r="J146" s="16" t="s">
        <v>272</v>
      </c>
      <c r="K146" s="18" t="s">
        <v>20</v>
      </c>
      <c r="L146" s="18">
        <v>100</v>
      </c>
      <c r="M146" s="18">
        <v>100</v>
      </c>
      <c r="N146" s="19">
        <v>100</v>
      </c>
    </row>
    <row r="147" spans="1:14" ht="75" x14ac:dyDescent="0.25">
      <c r="A147" s="75"/>
      <c r="B147" s="78"/>
      <c r="C147" s="78"/>
      <c r="D147" s="20" t="s">
        <v>34</v>
      </c>
      <c r="E147" s="20"/>
      <c r="F147" s="21">
        <v>7278.8</v>
      </c>
      <c r="G147" s="21">
        <v>7278.8</v>
      </c>
      <c r="H147" s="21">
        <v>7124.1</v>
      </c>
      <c r="I147" s="21">
        <v>7201.6</v>
      </c>
      <c r="J147" s="20" t="s">
        <v>273</v>
      </c>
      <c r="K147" s="22" t="s">
        <v>20</v>
      </c>
      <c r="L147" s="22">
        <v>100</v>
      </c>
      <c r="M147" s="22">
        <v>100</v>
      </c>
      <c r="N147" s="23">
        <v>100</v>
      </c>
    </row>
    <row r="148" spans="1:14" x14ac:dyDescent="0.25">
      <c r="A148" s="75"/>
      <c r="B148" s="78"/>
      <c r="C148" s="78"/>
      <c r="D148" s="20" t="s">
        <v>32</v>
      </c>
      <c r="E148" s="20"/>
      <c r="F148" s="21">
        <v>200</v>
      </c>
      <c r="G148" s="21">
        <v>200</v>
      </c>
      <c r="H148" s="21">
        <v>0</v>
      </c>
      <c r="I148" s="21">
        <v>0</v>
      </c>
      <c r="J148" s="20" t="s">
        <v>274</v>
      </c>
      <c r="K148" s="22" t="s">
        <v>25</v>
      </c>
      <c r="L148" s="22">
        <v>30</v>
      </c>
      <c r="M148" s="22"/>
      <c r="N148" s="23"/>
    </row>
    <row r="149" spans="1:14" ht="15.75" thickBot="1" x14ac:dyDescent="0.3">
      <c r="A149" s="76"/>
      <c r="B149" s="79"/>
      <c r="C149" s="79"/>
      <c r="D149" s="20" t="s">
        <v>275</v>
      </c>
      <c r="E149" s="20"/>
      <c r="F149" s="21">
        <v>360</v>
      </c>
      <c r="G149" s="21">
        <v>360</v>
      </c>
      <c r="H149" s="21">
        <v>360</v>
      </c>
      <c r="I149" s="21">
        <v>360</v>
      </c>
      <c r="J149" s="20"/>
      <c r="K149" s="22"/>
      <c r="L149" s="22"/>
      <c r="M149" s="22"/>
      <c r="N149" s="23"/>
    </row>
    <row r="150" spans="1:14" ht="30.75" thickBot="1" x14ac:dyDescent="0.3">
      <c r="A150" s="24" t="s">
        <v>276</v>
      </c>
      <c r="B150" s="25" t="s">
        <v>277</v>
      </c>
      <c r="C150" s="16" t="s">
        <v>184</v>
      </c>
      <c r="D150" s="16" t="s">
        <v>34</v>
      </c>
      <c r="E150" s="16"/>
      <c r="F150" s="26">
        <v>0</v>
      </c>
      <c r="G150" s="26">
        <v>0</v>
      </c>
      <c r="H150" s="26">
        <v>3672.1</v>
      </c>
      <c r="I150" s="26">
        <v>14275.4</v>
      </c>
      <c r="J150" s="16" t="s">
        <v>278</v>
      </c>
      <c r="K150" s="18" t="s">
        <v>20</v>
      </c>
      <c r="L150" s="18"/>
      <c r="M150" s="18">
        <v>20</v>
      </c>
      <c r="N150" s="19">
        <v>80</v>
      </c>
    </row>
    <row r="151" spans="1:14" ht="30" x14ac:dyDescent="0.25">
      <c r="A151" s="74" t="s">
        <v>279</v>
      </c>
      <c r="B151" s="77" t="s">
        <v>280</v>
      </c>
      <c r="C151" s="77" t="s">
        <v>184</v>
      </c>
      <c r="D151" s="16"/>
      <c r="E151" s="16"/>
      <c r="F151" s="17">
        <f>SUM(F152:F153)</f>
        <v>800</v>
      </c>
      <c r="G151" s="17">
        <f>SUM(G152:G153)</f>
        <v>800</v>
      </c>
      <c r="H151" s="17">
        <f>SUM(H152:H153)</f>
        <v>800</v>
      </c>
      <c r="I151" s="17">
        <f>SUM(I152:I153)</f>
        <v>800</v>
      </c>
      <c r="J151" s="16" t="s">
        <v>281</v>
      </c>
      <c r="K151" s="18" t="s">
        <v>25</v>
      </c>
      <c r="L151" s="18">
        <v>100</v>
      </c>
      <c r="M151" s="18">
        <v>100</v>
      </c>
      <c r="N151" s="19">
        <v>100</v>
      </c>
    </row>
    <row r="152" spans="1:14" x14ac:dyDescent="0.25">
      <c r="A152" s="75"/>
      <c r="B152" s="78"/>
      <c r="C152" s="78"/>
      <c r="D152" s="20" t="s">
        <v>34</v>
      </c>
      <c r="E152" s="20"/>
      <c r="F152" s="21">
        <v>300</v>
      </c>
      <c r="G152" s="21">
        <v>300</v>
      </c>
      <c r="H152" s="21">
        <v>800</v>
      </c>
      <c r="I152" s="21">
        <v>800</v>
      </c>
      <c r="J152" s="20"/>
      <c r="K152" s="22"/>
      <c r="L152" s="22"/>
      <c r="M152" s="22"/>
      <c r="N152" s="23"/>
    </row>
    <row r="153" spans="1:14" ht="15.75" thickBot="1" x14ac:dyDescent="0.3">
      <c r="A153" s="76"/>
      <c r="B153" s="79"/>
      <c r="C153" s="79"/>
      <c r="D153" s="20" t="s">
        <v>149</v>
      </c>
      <c r="E153" s="20"/>
      <c r="F153" s="21">
        <v>500</v>
      </c>
      <c r="G153" s="21">
        <v>500</v>
      </c>
      <c r="H153" s="21">
        <v>0</v>
      </c>
      <c r="I153" s="21">
        <v>0</v>
      </c>
      <c r="J153" s="20"/>
      <c r="K153" s="22"/>
      <c r="L153" s="22"/>
      <c r="M153" s="22"/>
      <c r="N153" s="23"/>
    </row>
    <row r="154" spans="1:14" ht="26.25" customHeight="1" thickBot="1" x14ac:dyDescent="0.3">
      <c r="A154" s="14" t="s">
        <v>282</v>
      </c>
      <c r="B154" s="89" t="s">
        <v>283</v>
      </c>
      <c r="C154" s="90"/>
      <c r="D154" s="90"/>
      <c r="E154" s="91"/>
      <c r="F154" s="15">
        <f>F155+F158+F161</f>
        <v>900.7</v>
      </c>
      <c r="G154" s="15">
        <f>G155+G158+G161</f>
        <v>900.7</v>
      </c>
      <c r="H154" s="15">
        <f>H155+H158+H161</f>
        <v>419</v>
      </c>
      <c r="I154" s="15">
        <f>I155+I158+I161</f>
        <v>419</v>
      </c>
      <c r="J154" s="71"/>
      <c r="K154" s="72"/>
      <c r="L154" s="72"/>
      <c r="M154" s="72"/>
      <c r="N154" s="73"/>
    </row>
    <row r="155" spans="1:14" ht="45" x14ac:dyDescent="0.25">
      <c r="A155" s="74" t="s">
        <v>284</v>
      </c>
      <c r="B155" s="77" t="s">
        <v>285</v>
      </c>
      <c r="C155" s="77" t="s">
        <v>184</v>
      </c>
      <c r="D155" s="16"/>
      <c r="E155" s="16"/>
      <c r="F155" s="17">
        <f>SUM(F156:F157)</f>
        <v>500</v>
      </c>
      <c r="G155" s="17">
        <f>SUM(G156:G157)</f>
        <v>500</v>
      </c>
      <c r="H155" s="17">
        <f>SUM(H156:H157)</f>
        <v>350</v>
      </c>
      <c r="I155" s="17">
        <f>SUM(I156:I157)</f>
        <v>350</v>
      </c>
      <c r="J155" s="16" t="s">
        <v>286</v>
      </c>
      <c r="K155" s="18" t="s">
        <v>20</v>
      </c>
      <c r="L155" s="18">
        <v>100</v>
      </c>
      <c r="M155" s="18">
        <v>100</v>
      </c>
      <c r="N155" s="19">
        <v>100</v>
      </c>
    </row>
    <row r="156" spans="1:14" ht="30" x14ac:dyDescent="0.25">
      <c r="A156" s="75"/>
      <c r="B156" s="78"/>
      <c r="C156" s="78"/>
      <c r="D156" s="20" t="s">
        <v>32</v>
      </c>
      <c r="E156" s="20"/>
      <c r="F156" s="21">
        <v>150</v>
      </c>
      <c r="G156" s="21">
        <v>150</v>
      </c>
      <c r="H156" s="21">
        <v>0</v>
      </c>
      <c r="I156" s="21">
        <v>0</v>
      </c>
      <c r="J156" s="20" t="s">
        <v>287</v>
      </c>
      <c r="K156" s="22" t="s">
        <v>222</v>
      </c>
      <c r="L156" s="31">
        <v>2700</v>
      </c>
      <c r="M156" s="22"/>
      <c r="N156" s="23"/>
    </row>
    <row r="157" spans="1:14" ht="15.75" thickBot="1" x14ac:dyDescent="0.3">
      <c r="A157" s="76"/>
      <c r="B157" s="79"/>
      <c r="C157" s="79"/>
      <c r="D157" s="20" t="s">
        <v>34</v>
      </c>
      <c r="E157" s="20"/>
      <c r="F157" s="21">
        <v>350</v>
      </c>
      <c r="G157" s="21">
        <v>350</v>
      </c>
      <c r="H157" s="21">
        <v>350</v>
      </c>
      <c r="I157" s="21">
        <v>350</v>
      </c>
      <c r="J157" s="20"/>
      <c r="K157" s="22"/>
      <c r="L157" s="22"/>
      <c r="M157" s="22"/>
      <c r="N157" s="23"/>
    </row>
    <row r="158" spans="1:14" ht="27" customHeight="1" x14ac:dyDescent="0.25">
      <c r="A158" s="74" t="s">
        <v>288</v>
      </c>
      <c r="B158" s="77" t="s">
        <v>289</v>
      </c>
      <c r="C158" s="77" t="s">
        <v>290</v>
      </c>
      <c r="D158" s="16"/>
      <c r="E158" s="16"/>
      <c r="F158" s="17">
        <f>SUM(F159:F160)</f>
        <v>262.5</v>
      </c>
      <c r="G158" s="17">
        <f>SUM(G159:G160)</f>
        <v>262.5</v>
      </c>
      <c r="H158" s="17">
        <f>SUM(H159:H160)</f>
        <v>69</v>
      </c>
      <c r="I158" s="17">
        <f>SUM(I159:I160)</f>
        <v>69</v>
      </c>
      <c r="J158" s="16" t="s">
        <v>291</v>
      </c>
      <c r="K158" s="18" t="s">
        <v>20</v>
      </c>
      <c r="L158" s="18">
        <v>17</v>
      </c>
      <c r="M158" s="18">
        <v>35</v>
      </c>
      <c r="N158" s="19">
        <v>50</v>
      </c>
    </row>
    <row r="159" spans="1:14" ht="30" x14ac:dyDescent="0.25">
      <c r="A159" s="75"/>
      <c r="B159" s="78"/>
      <c r="C159" s="78"/>
      <c r="D159" s="20" t="s">
        <v>32</v>
      </c>
      <c r="E159" s="20"/>
      <c r="F159" s="21">
        <v>193.5</v>
      </c>
      <c r="G159" s="21">
        <v>193.5</v>
      </c>
      <c r="H159" s="21">
        <v>0</v>
      </c>
      <c r="I159" s="21">
        <v>0</v>
      </c>
      <c r="J159" s="20" t="s">
        <v>292</v>
      </c>
      <c r="K159" s="22" t="s">
        <v>20</v>
      </c>
      <c r="L159" s="22">
        <v>100</v>
      </c>
      <c r="M159" s="22">
        <v>100</v>
      </c>
      <c r="N159" s="23">
        <v>100</v>
      </c>
    </row>
    <row r="160" spans="1:14" ht="15.75" thickBot="1" x14ac:dyDescent="0.3">
      <c r="A160" s="76"/>
      <c r="B160" s="79"/>
      <c r="C160" s="79"/>
      <c r="D160" s="20" t="s">
        <v>34</v>
      </c>
      <c r="E160" s="20"/>
      <c r="F160" s="21">
        <v>69</v>
      </c>
      <c r="G160" s="21">
        <v>69</v>
      </c>
      <c r="H160" s="21">
        <v>69</v>
      </c>
      <c r="I160" s="21">
        <v>69</v>
      </c>
      <c r="J160" s="20"/>
      <c r="K160" s="22"/>
      <c r="L160" s="22"/>
      <c r="M160" s="22"/>
      <c r="N160" s="23"/>
    </row>
    <row r="161" spans="1:14" ht="30" x14ac:dyDescent="0.25">
      <c r="A161" s="74" t="s">
        <v>293</v>
      </c>
      <c r="B161" s="77" t="s">
        <v>294</v>
      </c>
      <c r="C161" s="77" t="s">
        <v>295</v>
      </c>
      <c r="D161" s="16"/>
      <c r="E161" s="16"/>
      <c r="F161" s="17">
        <f>SUM(F162:F164)</f>
        <v>138.19999999999999</v>
      </c>
      <c r="G161" s="17">
        <f>SUM(G162:G164)</f>
        <v>138.19999999999999</v>
      </c>
      <c r="H161" s="17">
        <f>SUM(H162:H164)</f>
        <v>0</v>
      </c>
      <c r="I161" s="17">
        <f>SUM(I162:I164)</f>
        <v>0</v>
      </c>
      <c r="J161" s="16" t="s">
        <v>296</v>
      </c>
      <c r="K161" s="18" t="s">
        <v>25</v>
      </c>
      <c r="L161" s="18">
        <v>1</v>
      </c>
      <c r="M161" s="18"/>
      <c r="N161" s="19"/>
    </row>
    <row r="162" spans="1:14" x14ac:dyDescent="0.25">
      <c r="A162" s="75"/>
      <c r="B162" s="78"/>
      <c r="C162" s="78"/>
      <c r="D162" s="20" t="s">
        <v>32</v>
      </c>
      <c r="E162" s="20"/>
      <c r="F162" s="21">
        <v>10.5</v>
      </c>
      <c r="G162" s="21">
        <v>10.5</v>
      </c>
      <c r="H162" s="21">
        <v>0</v>
      </c>
      <c r="I162" s="21">
        <v>0</v>
      </c>
      <c r="J162" s="20"/>
      <c r="K162" s="22"/>
      <c r="L162" s="22"/>
      <c r="M162" s="22"/>
      <c r="N162" s="23"/>
    </row>
    <row r="163" spans="1:14" x14ac:dyDescent="0.25">
      <c r="A163" s="75"/>
      <c r="B163" s="78"/>
      <c r="C163" s="78"/>
      <c r="D163" s="20" t="s">
        <v>34</v>
      </c>
      <c r="E163" s="20"/>
      <c r="F163" s="21">
        <v>3</v>
      </c>
      <c r="G163" s="21">
        <v>3</v>
      </c>
      <c r="H163" s="21">
        <v>0</v>
      </c>
      <c r="I163" s="21">
        <v>0</v>
      </c>
      <c r="J163" s="20"/>
      <c r="K163" s="22"/>
      <c r="L163" s="22"/>
      <c r="M163" s="22"/>
      <c r="N163" s="23"/>
    </row>
    <row r="164" spans="1:14" ht="15.75" thickBot="1" x14ac:dyDescent="0.3">
      <c r="A164" s="76"/>
      <c r="B164" s="79"/>
      <c r="C164" s="79"/>
      <c r="D164" s="20" t="s">
        <v>123</v>
      </c>
      <c r="E164" s="20"/>
      <c r="F164" s="21">
        <v>124.7</v>
      </c>
      <c r="G164" s="21">
        <v>124.7</v>
      </c>
      <c r="H164" s="21">
        <v>0</v>
      </c>
      <c r="I164" s="21">
        <v>0</v>
      </c>
      <c r="J164" s="20"/>
      <c r="K164" s="22"/>
      <c r="L164" s="22"/>
      <c r="M164" s="22"/>
      <c r="N164" s="23"/>
    </row>
    <row r="165" spans="1:14" ht="28.5" customHeight="1" thickBot="1" x14ac:dyDescent="0.3">
      <c r="A165" s="14" t="s">
        <v>297</v>
      </c>
      <c r="B165" s="89" t="s">
        <v>298</v>
      </c>
      <c r="C165" s="90"/>
      <c r="D165" s="90"/>
      <c r="E165" s="91"/>
      <c r="F165" s="15">
        <f>F166+F167+F168+F169+F171+F175+F179</f>
        <v>3142.4</v>
      </c>
      <c r="G165" s="15">
        <f>G166+G167+G168+G169+G171+G175+G179</f>
        <v>3142.5</v>
      </c>
      <c r="H165" s="15">
        <f>H166+H167+H168+H169+H171+H175+H179</f>
        <v>5865</v>
      </c>
      <c r="I165" s="15">
        <f>I166+I167+I168+I169+I171+I175+I179</f>
        <v>1485</v>
      </c>
      <c r="J165" s="71"/>
      <c r="K165" s="72"/>
      <c r="L165" s="72"/>
      <c r="M165" s="72"/>
      <c r="N165" s="73"/>
    </row>
    <row r="166" spans="1:14" ht="45.75" thickBot="1" x14ac:dyDescent="0.3">
      <c r="A166" s="24" t="s">
        <v>299</v>
      </c>
      <c r="B166" s="25" t="s">
        <v>300</v>
      </c>
      <c r="C166" s="16" t="s">
        <v>301</v>
      </c>
      <c r="D166" s="16" t="s">
        <v>32</v>
      </c>
      <c r="E166" s="16"/>
      <c r="F166" s="26">
        <v>555.70000000000005</v>
      </c>
      <c r="G166" s="26">
        <v>555.70000000000005</v>
      </c>
      <c r="H166" s="26">
        <v>0</v>
      </c>
      <c r="I166" s="26">
        <v>0</v>
      </c>
      <c r="J166" s="16" t="s">
        <v>204</v>
      </c>
      <c r="K166" s="18" t="s">
        <v>25</v>
      </c>
      <c r="L166" s="18">
        <v>1</v>
      </c>
      <c r="M166" s="18"/>
      <c r="N166" s="19"/>
    </row>
    <row r="167" spans="1:14" ht="105" x14ac:dyDescent="0.25">
      <c r="A167" s="24" t="s">
        <v>302</v>
      </c>
      <c r="B167" s="25" t="s">
        <v>303</v>
      </c>
      <c r="C167" s="16" t="s">
        <v>304</v>
      </c>
      <c r="D167" s="16" t="s">
        <v>32</v>
      </c>
      <c r="E167" s="16"/>
      <c r="F167" s="26">
        <v>8.6</v>
      </c>
      <c r="G167" s="26">
        <v>8.6</v>
      </c>
      <c r="H167" s="26">
        <v>0</v>
      </c>
      <c r="I167" s="26">
        <v>0</v>
      </c>
      <c r="J167" s="16" t="s">
        <v>204</v>
      </c>
      <c r="K167" s="18" t="s">
        <v>25</v>
      </c>
      <c r="L167" s="18">
        <v>1</v>
      </c>
      <c r="M167" s="18"/>
      <c r="N167" s="19"/>
    </row>
    <row r="168" spans="1:14" ht="41.25" customHeight="1" thickBot="1" x14ac:dyDescent="0.3">
      <c r="A168" s="24" t="s">
        <v>305</v>
      </c>
      <c r="B168" s="25" t="s">
        <v>306</v>
      </c>
      <c r="C168" s="16" t="s">
        <v>301</v>
      </c>
      <c r="D168" s="16" t="s">
        <v>32</v>
      </c>
      <c r="E168" s="16"/>
      <c r="F168" s="26">
        <v>45.5</v>
      </c>
      <c r="G168" s="26">
        <v>45.5</v>
      </c>
      <c r="H168" s="26">
        <v>0</v>
      </c>
      <c r="I168" s="26">
        <v>0</v>
      </c>
      <c r="J168" s="16" t="s">
        <v>204</v>
      </c>
      <c r="K168" s="18" t="s">
        <v>25</v>
      </c>
      <c r="L168" s="18">
        <v>1</v>
      </c>
      <c r="M168" s="18"/>
      <c r="N168" s="19"/>
    </row>
    <row r="169" spans="1:14" ht="51" customHeight="1" x14ac:dyDescent="0.25">
      <c r="A169" s="74" t="s">
        <v>307</v>
      </c>
      <c r="B169" s="77" t="s">
        <v>308</v>
      </c>
      <c r="C169" s="77" t="s">
        <v>203</v>
      </c>
      <c r="D169" s="16"/>
      <c r="E169" s="16"/>
      <c r="F169" s="17">
        <f>SUM(F170:F170)</f>
        <v>2.6</v>
      </c>
      <c r="G169" s="17">
        <f>SUM(G170:G170)+0.1</f>
        <v>2.7</v>
      </c>
      <c r="H169" s="17">
        <f>SUM(H170:H170)</f>
        <v>0</v>
      </c>
      <c r="I169" s="17">
        <f>SUM(I170:I170)</f>
        <v>0</v>
      </c>
      <c r="J169" s="16" t="s">
        <v>204</v>
      </c>
      <c r="K169" s="18" t="s">
        <v>25</v>
      </c>
      <c r="L169" s="18">
        <v>1</v>
      </c>
      <c r="M169" s="18"/>
      <c r="N169" s="19"/>
    </row>
    <row r="170" spans="1:14" ht="15.75" thickBot="1" x14ac:dyDescent="0.3">
      <c r="A170" s="76"/>
      <c r="B170" s="79"/>
      <c r="C170" s="79"/>
      <c r="D170" s="20" t="s">
        <v>32</v>
      </c>
      <c r="E170" s="20"/>
      <c r="F170" s="21">
        <v>2.6</v>
      </c>
      <c r="G170" s="21">
        <v>2.6</v>
      </c>
      <c r="H170" s="21">
        <v>0</v>
      </c>
      <c r="I170" s="21">
        <v>0</v>
      </c>
      <c r="J170" s="20"/>
      <c r="K170" s="22"/>
      <c r="L170" s="22"/>
      <c r="M170" s="22"/>
      <c r="N170" s="23"/>
    </row>
    <row r="171" spans="1:14" ht="45" x14ac:dyDescent="0.25">
      <c r="A171" s="74" t="s">
        <v>309</v>
      </c>
      <c r="B171" s="77" t="s">
        <v>310</v>
      </c>
      <c r="C171" s="77" t="s">
        <v>311</v>
      </c>
      <c r="D171" s="16" t="s">
        <v>34</v>
      </c>
      <c r="E171" s="16" t="s">
        <v>312</v>
      </c>
      <c r="F171" s="17">
        <f>SUM(F172:F174)+300</f>
        <v>300</v>
      </c>
      <c r="G171" s="17">
        <f>SUM(G172:G174)+300</f>
        <v>300</v>
      </c>
      <c r="H171" s="17">
        <f>SUM(H172:H174)+300</f>
        <v>300</v>
      </c>
      <c r="I171" s="17">
        <f>SUM(I172:I174)+300</f>
        <v>300</v>
      </c>
      <c r="J171" s="16" t="s">
        <v>313</v>
      </c>
      <c r="K171" s="18" t="s">
        <v>251</v>
      </c>
      <c r="L171" s="18">
        <v>110</v>
      </c>
      <c r="M171" s="18">
        <v>114</v>
      </c>
      <c r="N171" s="19">
        <v>114</v>
      </c>
    </row>
    <row r="172" spans="1:14" x14ac:dyDescent="0.25">
      <c r="A172" s="75"/>
      <c r="B172" s="78"/>
      <c r="C172" s="78"/>
      <c r="D172" s="20"/>
      <c r="E172" s="20"/>
      <c r="F172" s="21">
        <v>0</v>
      </c>
      <c r="G172" s="21">
        <v>0</v>
      </c>
      <c r="H172" s="21">
        <v>0</v>
      </c>
      <c r="I172" s="21">
        <v>0</v>
      </c>
      <c r="J172" s="20" t="s">
        <v>314</v>
      </c>
      <c r="K172" s="22" t="s">
        <v>251</v>
      </c>
      <c r="L172" s="22">
        <v>0</v>
      </c>
      <c r="M172" s="22">
        <v>1</v>
      </c>
      <c r="N172" s="23">
        <v>0</v>
      </c>
    </row>
    <row r="173" spans="1:14" x14ac:dyDescent="0.25">
      <c r="A173" s="75"/>
      <c r="B173" s="78"/>
      <c r="C173" s="78"/>
      <c r="D173" s="20"/>
      <c r="E173" s="20"/>
      <c r="F173" s="21">
        <v>0</v>
      </c>
      <c r="G173" s="21">
        <v>0</v>
      </c>
      <c r="H173" s="21">
        <v>0</v>
      </c>
      <c r="I173" s="21">
        <v>0</v>
      </c>
      <c r="J173" s="20" t="s">
        <v>315</v>
      </c>
      <c r="K173" s="22" t="s">
        <v>251</v>
      </c>
      <c r="L173" s="22">
        <v>6</v>
      </c>
      <c r="M173" s="22">
        <v>5</v>
      </c>
      <c r="N173" s="23">
        <v>5</v>
      </c>
    </row>
    <row r="174" spans="1:14" ht="30.75" thickBot="1" x14ac:dyDescent="0.3">
      <c r="A174" s="76"/>
      <c r="B174" s="79"/>
      <c r="C174" s="79"/>
      <c r="D174" s="20"/>
      <c r="E174" s="20"/>
      <c r="F174" s="21">
        <v>0</v>
      </c>
      <c r="G174" s="21">
        <v>0</v>
      </c>
      <c r="H174" s="21">
        <v>0</v>
      </c>
      <c r="I174" s="21">
        <v>0</v>
      </c>
      <c r="J174" s="20" t="s">
        <v>316</v>
      </c>
      <c r="K174" s="22" t="s">
        <v>251</v>
      </c>
      <c r="L174" s="22">
        <v>4</v>
      </c>
      <c r="M174" s="22">
        <v>4</v>
      </c>
      <c r="N174" s="23">
        <v>5</v>
      </c>
    </row>
    <row r="175" spans="1:14" ht="30" x14ac:dyDescent="0.25">
      <c r="A175" s="74" t="s">
        <v>317</v>
      </c>
      <c r="B175" s="77" t="s">
        <v>318</v>
      </c>
      <c r="C175" s="77" t="s">
        <v>319</v>
      </c>
      <c r="D175" s="16"/>
      <c r="E175" s="16" t="s">
        <v>320</v>
      </c>
      <c r="F175" s="17">
        <f>SUM(F176:F178)</f>
        <v>280</v>
      </c>
      <c r="G175" s="17">
        <f>SUM(G176:G178)</f>
        <v>280</v>
      </c>
      <c r="H175" s="17">
        <f>SUM(H176:H178)</f>
        <v>2015</v>
      </c>
      <c r="I175" s="17">
        <f>SUM(I176:I178)</f>
        <v>1185</v>
      </c>
      <c r="J175" s="16" t="s">
        <v>321</v>
      </c>
      <c r="K175" s="18" t="s">
        <v>20</v>
      </c>
      <c r="L175" s="18">
        <v>100</v>
      </c>
      <c r="M175" s="18"/>
      <c r="N175" s="19"/>
    </row>
    <row r="176" spans="1:14" ht="30" x14ac:dyDescent="0.25">
      <c r="A176" s="75"/>
      <c r="B176" s="78"/>
      <c r="C176" s="78"/>
      <c r="D176" s="20" t="s">
        <v>34</v>
      </c>
      <c r="E176" s="20"/>
      <c r="F176" s="21">
        <v>200</v>
      </c>
      <c r="G176" s="21">
        <v>200</v>
      </c>
      <c r="H176" s="21">
        <v>315</v>
      </c>
      <c r="I176" s="21">
        <v>335</v>
      </c>
      <c r="J176" s="20" t="s">
        <v>322</v>
      </c>
      <c r="K176" s="22" t="s">
        <v>20</v>
      </c>
      <c r="L176" s="22"/>
      <c r="M176" s="22">
        <v>60</v>
      </c>
      <c r="N176" s="23">
        <v>100</v>
      </c>
    </row>
    <row r="177" spans="1:14" x14ac:dyDescent="0.25">
      <c r="A177" s="75"/>
      <c r="B177" s="78"/>
      <c r="C177" s="78"/>
      <c r="D177" s="20" t="s">
        <v>323</v>
      </c>
      <c r="E177" s="20"/>
      <c r="F177" s="21"/>
      <c r="G177" s="21"/>
      <c r="H177" s="21">
        <v>1700</v>
      </c>
      <c r="I177" s="21">
        <v>850</v>
      </c>
      <c r="J177" s="20"/>
      <c r="K177" s="22"/>
      <c r="L177" s="22"/>
      <c r="M177" s="22"/>
      <c r="N177" s="23"/>
    </row>
    <row r="178" spans="1:14" ht="15.75" thickBot="1" x14ac:dyDescent="0.3">
      <c r="A178" s="76"/>
      <c r="B178" s="79"/>
      <c r="C178" s="79"/>
      <c r="D178" s="20" t="s">
        <v>32</v>
      </c>
      <c r="E178" s="20"/>
      <c r="F178" s="21">
        <v>80</v>
      </c>
      <c r="G178" s="21">
        <v>80</v>
      </c>
      <c r="H178" s="21"/>
      <c r="I178" s="21"/>
      <c r="J178" s="20"/>
      <c r="K178" s="22"/>
      <c r="L178" s="22"/>
      <c r="M178" s="22"/>
      <c r="N178" s="23"/>
    </row>
    <row r="179" spans="1:14" ht="71.25" customHeight="1" x14ac:dyDescent="0.25">
      <c r="A179" s="74" t="s">
        <v>324</v>
      </c>
      <c r="B179" s="77" t="s">
        <v>325</v>
      </c>
      <c r="C179" s="77" t="s">
        <v>203</v>
      </c>
      <c r="D179" s="16"/>
      <c r="E179" s="16"/>
      <c r="F179" s="17">
        <f>SUM(F180:F182)</f>
        <v>1950</v>
      </c>
      <c r="G179" s="17">
        <f>SUM(G180:G182)</f>
        <v>1950</v>
      </c>
      <c r="H179" s="17">
        <f>SUM(H180:H182)</f>
        <v>3550</v>
      </c>
      <c r="I179" s="17">
        <f>SUM(I180:I182)</f>
        <v>0</v>
      </c>
      <c r="J179" s="16" t="s">
        <v>326</v>
      </c>
      <c r="K179" s="18" t="s">
        <v>20</v>
      </c>
      <c r="L179" s="18">
        <v>40</v>
      </c>
      <c r="M179" s="18">
        <v>100</v>
      </c>
      <c r="N179" s="19"/>
    </row>
    <row r="180" spans="1:14" x14ac:dyDescent="0.25">
      <c r="A180" s="75"/>
      <c r="B180" s="78"/>
      <c r="C180" s="78"/>
      <c r="D180" s="20" t="s">
        <v>34</v>
      </c>
      <c r="E180" s="20"/>
      <c r="F180" s="21">
        <v>100</v>
      </c>
      <c r="G180" s="21">
        <v>100</v>
      </c>
      <c r="H180" s="21">
        <v>530</v>
      </c>
      <c r="I180" s="21">
        <v>0</v>
      </c>
      <c r="J180" s="20"/>
      <c r="K180" s="22"/>
      <c r="L180" s="22"/>
      <c r="M180" s="22"/>
      <c r="N180" s="23"/>
    </row>
    <row r="181" spans="1:14" x14ac:dyDescent="0.25">
      <c r="A181" s="75"/>
      <c r="B181" s="78"/>
      <c r="C181" s="78"/>
      <c r="D181" s="20" t="s">
        <v>323</v>
      </c>
      <c r="E181" s="20"/>
      <c r="F181" s="21">
        <v>550</v>
      </c>
      <c r="G181" s="21">
        <v>550</v>
      </c>
      <c r="H181" s="21">
        <v>3020</v>
      </c>
      <c r="I181" s="21">
        <v>0</v>
      </c>
      <c r="J181" s="20"/>
      <c r="K181" s="22"/>
      <c r="L181" s="22"/>
      <c r="M181" s="22"/>
      <c r="N181" s="23"/>
    </row>
    <row r="182" spans="1:14" ht="15.75" thickBot="1" x14ac:dyDescent="0.3">
      <c r="A182" s="76"/>
      <c r="B182" s="79"/>
      <c r="C182" s="79"/>
      <c r="D182" s="20" t="s">
        <v>32</v>
      </c>
      <c r="E182" s="20"/>
      <c r="F182" s="21">
        <v>1300</v>
      </c>
      <c r="G182" s="21">
        <v>1300</v>
      </c>
      <c r="H182" s="21">
        <v>0</v>
      </c>
      <c r="I182" s="21">
        <v>0</v>
      </c>
      <c r="J182" s="20"/>
      <c r="K182" s="22"/>
      <c r="L182" s="22"/>
      <c r="M182" s="22"/>
      <c r="N182" s="23"/>
    </row>
    <row r="183" spans="1:14" ht="15.75" thickBot="1" x14ac:dyDescent="0.3">
      <c r="A183" s="9" t="s">
        <v>327</v>
      </c>
      <c r="B183" s="86" t="s">
        <v>328</v>
      </c>
      <c r="C183" s="87"/>
      <c r="D183" s="87"/>
      <c r="E183" s="88"/>
      <c r="F183" s="10">
        <f>F184+F204</f>
        <v>25025.399999999998</v>
      </c>
      <c r="G183" s="10">
        <f>G184+G204</f>
        <v>25874.799999999999</v>
      </c>
      <c r="H183" s="10">
        <f>H184+H204</f>
        <v>22214.799999999999</v>
      </c>
      <c r="I183" s="10">
        <f>I184+I204</f>
        <v>20444.8</v>
      </c>
      <c r="J183" s="11" t="s">
        <v>329</v>
      </c>
      <c r="K183" s="12" t="s">
        <v>330</v>
      </c>
      <c r="L183" s="12">
        <v>3</v>
      </c>
      <c r="M183" s="12">
        <v>3</v>
      </c>
      <c r="N183" s="13">
        <v>3</v>
      </c>
    </row>
    <row r="184" spans="1:14" ht="26.25" customHeight="1" thickBot="1" x14ac:dyDescent="0.3">
      <c r="A184" s="14" t="s">
        <v>331</v>
      </c>
      <c r="B184" s="89" t="s">
        <v>332</v>
      </c>
      <c r="C184" s="90"/>
      <c r="D184" s="90"/>
      <c r="E184" s="91"/>
      <c r="F184" s="15">
        <f>F185+F191+F194+F197+F202+F203</f>
        <v>22035.199999999997</v>
      </c>
      <c r="G184" s="15">
        <f>G185+G191+G194+G197+G202+G203</f>
        <v>22804.6</v>
      </c>
      <c r="H184" s="15">
        <f>H185+H191+H194+H197+H202+H203</f>
        <v>18994.8</v>
      </c>
      <c r="I184" s="15">
        <f>I185+I191+I194+I197+I202+I203</f>
        <v>17194.8</v>
      </c>
      <c r="J184" s="71"/>
      <c r="K184" s="72"/>
      <c r="L184" s="72"/>
      <c r="M184" s="72"/>
      <c r="N184" s="73"/>
    </row>
    <row r="185" spans="1:14" ht="30" x14ac:dyDescent="0.25">
      <c r="A185" s="74" t="s">
        <v>333</v>
      </c>
      <c r="B185" s="77" t="s">
        <v>334</v>
      </c>
      <c r="C185" s="77" t="s">
        <v>184</v>
      </c>
      <c r="D185" s="16"/>
      <c r="E185" s="16" t="s">
        <v>194</v>
      </c>
      <c r="F185" s="17">
        <f>SUM(F186:F190)</f>
        <v>16460.099999999999</v>
      </c>
      <c r="G185" s="17">
        <f>SUM(G186:G190)</f>
        <v>17229.5</v>
      </c>
      <c r="H185" s="17">
        <f>SUM(H186:H190)</f>
        <v>11500</v>
      </c>
      <c r="I185" s="17">
        <f>SUM(I186:I190)</f>
        <v>11500</v>
      </c>
      <c r="J185" s="16" t="s">
        <v>335</v>
      </c>
      <c r="K185" s="18" t="s">
        <v>20</v>
      </c>
      <c r="L185" s="18">
        <v>100</v>
      </c>
      <c r="M185" s="18">
        <v>100</v>
      </c>
      <c r="N185" s="19">
        <v>100</v>
      </c>
    </row>
    <row r="186" spans="1:14" ht="30" x14ac:dyDescent="0.25">
      <c r="A186" s="75"/>
      <c r="B186" s="78"/>
      <c r="C186" s="78"/>
      <c r="D186" s="20" t="s">
        <v>34</v>
      </c>
      <c r="E186" s="20"/>
      <c r="F186" s="21">
        <v>2860</v>
      </c>
      <c r="G186" s="21">
        <v>2860</v>
      </c>
      <c r="H186" s="21">
        <v>7860</v>
      </c>
      <c r="I186" s="21">
        <v>7860</v>
      </c>
      <c r="J186" s="20" t="s">
        <v>336</v>
      </c>
      <c r="K186" s="22" t="s">
        <v>20</v>
      </c>
      <c r="L186" s="22">
        <v>100</v>
      </c>
      <c r="M186" s="22">
        <v>100</v>
      </c>
      <c r="N186" s="23">
        <v>100</v>
      </c>
    </row>
    <row r="187" spans="1:14" x14ac:dyDescent="0.25">
      <c r="A187" s="75"/>
      <c r="B187" s="78"/>
      <c r="C187" s="78"/>
      <c r="D187" s="20" t="s">
        <v>275</v>
      </c>
      <c r="E187" s="20"/>
      <c r="F187" s="21">
        <v>7188.9</v>
      </c>
      <c r="G187" s="21">
        <v>6773.3</v>
      </c>
      <c r="H187" s="21">
        <v>3640</v>
      </c>
      <c r="I187" s="21">
        <v>3640</v>
      </c>
      <c r="J187" s="20"/>
      <c r="K187" s="22"/>
      <c r="L187" s="22"/>
      <c r="M187" s="22"/>
      <c r="N187" s="23"/>
    </row>
    <row r="188" spans="1:14" x14ac:dyDescent="0.25">
      <c r="A188" s="75"/>
      <c r="B188" s="78"/>
      <c r="C188" s="78"/>
      <c r="D188" s="20" t="s">
        <v>32</v>
      </c>
      <c r="E188" s="20"/>
      <c r="F188" s="21">
        <v>1411.2</v>
      </c>
      <c r="G188" s="21">
        <v>1411.2</v>
      </c>
      <c r="H188" s="21"/>
      <c r="I188" s="21"/>
      <c r="J188" s="20"/>
      <c r="K188" s="22"/>
      <c r="L188" s="22"/>
      <c r="M188" s="22"/>
      <c r="N188" s="23"/>
    </row>
    <row r="189" spans="1:14" x14ac:dyDescent="0.25">
      <c r="A189" s="75"/>
      <c r="B189" s="78"/>
      <c r="C189" s="78"/>
      <c r="D189" s="20" t="s">
        <v>149</v>
      </c>
      <c r="E189" s="20"/>
      <c r="F189" s="21">
        <v>5000</v>
      </c>
      <c r="G189" s="21">
        <v>5500</v>
      </c>
      <c r="H189" s="21"/>
      <c r="I189" s="21"/>
      <c r="J189" s="20"/>
      <c r="K189" s="22"/>
      <c r="L189" s="22"/>
      <c r="M189" s="22"/>
      <c r="N189" s="23"/>
    </row>
    <row r="190" spans="1:14" ht="15.75" thickBot="1" x14ac:dyDescent="0.3">
      <c r="A190" s="76"/>
      <c r="B190" s="79"/>
      <c r="C190" s="79"/>
      <c r="D190" s="20" t="s">
        <v>123</v>
      </c>
      <c r="E190" s="20"/>
      <c r="F190" s="21"/>
      <c r="G190" s="21">
        <v>685</v>
      </c>
      <c r="H190" s="21"/>
      <c r="I190" s="21"/>
      <c r="J190" s="20"/>
      <c r="K190" s="22"/>
      <c r="L190" s="22"/>
      <c r="M190" s="22"/>
      <c r="N190" s="23"/>
    </row>
    <row r="191" spans="1:14" ht="30" x14ac:dyDescent="0.25">
      <c r="A191" s="74" t="s">
        <v>337</v>
      </c>
      <c r="B191" s="77" t="s">
        <v>338</v>
      </c>
      <c r="C191" s="77" t="s">
        <v>339</v>
      </c>
      <c r="D191" s="16"/>
      <c r="E191" s="16"/>
      <c r="F191" s="17">
        <f>SUM(F192:F193)</f>
        <v>0.30000000000000004</v>
      </c>
      <c r="G191" s="17">
        <f>SUM(G192:G193)</f>
        <v>0.30000000000000004</v>
      </c>
      <c r="H191" s="17">
        <f>SUM(H192:H193)</f>
        <v>0</v>
      </c>
      <c r="I191" s="17">
        <f>SUM(I192:I193)</f>
        <v>0</v>
      </c>
      <c r="J191" s="16" t="s">
        <v>204</v>
      </c>
      <c r="K191" s="18" t="s">
        <v>25</v>
      </c>
      <c r="L191" s="18">
        <v>1</v>
      </c>
      <c r="M191" s="18"/>
      <c r="N191" s="19"/>
    </row>
    <row r="192" spans="1:14" x14ac:dyDescent="0.25">
      <c r="A192" s="75"/>
      <c r="B192" s="78"/>
      <c r="C192" s="78"/>
      <c r="D192" s="20" t="s">
        <v>123</v>
      </c>
      <c r="E192" s="20"/>
      <c r="F192" s="21">
        <v>0.1</v>
      </c>
      <c r="G192" s="21">
        <v>0.1</v>
      </c>
      <c r="H192" s="21">
        <v>0</v>
      </c>
      <c r="I192" s="21">
        <v>0</v>
      </c>
      <c r="J192" s="20"/>
      <c r="K192" s="22"/>
      <c r="L192" s="22"/>
      <c r="M192" s="22"/>
      <c r="N192" s="23"/>
    </row>
    <row r="193" spans="1:14" ht="15.75" thickBot="1" x14ac:dyDescent="0.3">
      <c r="A193" s="76"/>
      <c r="B193" s="79"/>
      <c r="C193" s="79"/>
      <c r="D193" s="20" t="s">
        <v>323</v>
      </c>
      <c r="E193" s="20"/>
      <c r="F193" s="21">
        <v>0.2</v>
      </c>
      <c r="G193" s="21">
        <v>0.2</v>
      </c>
      <c r="H193" s="21">
        <v>0</v>
      </c>
      <c r="I193" s="21">
        <v>0</v>
      </c>
      <c r="J193" s="20"/>
      <c r="K193" s="22"/>
      <c r="L193" s="22"/>
      <c r="M193" s="22"/>
      <c r="N193" s="23"/>
    </row>
    <row r="194" spans="1:14" x14ac:dyDescent="0.25">
      <c r="A194" s="74" t="s">
        <v>340</v>
      </c>
      <c r="B194" s="77" t="s">
        <v>341</v>
      </c>
      <c r="C194" s="77" t="s">
        <v>203</v>
      </c>
      <c r="D194" s="16"/>
      <c r="E194" s="16"/>
      <c r="F194" s="17">
        <f>SUM(F195:F196)</f>
        <v>500</v>
      </c>
      <c r="G194" s="17">
        <f>SUM(G195:G196)</f>
        <v>500</v>
      </c>
      <c r="H194" s="17">
        <f>SUM(H195:H196)</f>
        <v>600</v>
      </c>
      <c r="I194" s="17">
        <f>SUM(I195:I196)</f>
        <v>0</v>
      </c>
      <c r="J194" s="16" t="s">
        <v>342</v>
      </c>
      <c r="K194" s="18" t="s">
        <v>251</v>
      </c>
      <c r="L194" s="18">
        <v>2</v>
      </c>
      <c r="M194" s="18">
        <v>2</v>
      </c>
      <c r="N194" s="19"/>
    </row>
    <row r="195" spans="1:14" x14ac:dyDescent="0.25">
      <c r="A195" s="75"/>
      <c r="B195" s="78"/>
      <c r="C195" s="78"/>
      <c r="D195" s="20" t="s">
        <v>323</v>
      </c>
      <c r="E195" s="20"/>
      <c r="F195" s="21">
        <v>350</v>
      </c>
      <c r="G195" s="21">
        <v>350</v>
      </c>
      <c r="H195" s="21">
        <v>500</v>
      </c>
      <c r="I195" s="21">
        <v>0</v>
      </c>
      <c r="J195" s="20"/>
      <c r="K195" s="22"/>
      <c r="L195" s="22"/>
      <c r="M195" s="22"/>
      <c r="N195" s="23"/>
    </row>
    <row r="196" spans="1:14" ht="15.75" thickBot="1" x14ac:dyDescent="0.3">
      <c r="A196" s="76"/>
      <c r="B196" s="79"/>
      <c r="C196" s="79"/>
      <c r="D196" s="20" t="s">
        <v>34</v>
      </c>
      <c r="E196" s="20"/>
      <c r="F196" s="21">
        <v>150</v>
      </c>
      <c r="G196" s="21">
        <v>150</v>
      </c>
      <c r="H196" s="21">
        <v>100</v>
      </c>
      <c r="I196" s="21">
        <v>0</v>
      </c>
      <c r="J196" s="20"/>
      <c r="K196" s="22"/>
      <c r="L196" s="22"/>
      <c r="M196" s="22"/>
      <c r="N196" s="23"/>
    </row>
    <row r="197" spans="1:14" ht="30" x14ac:dyDescent="0.25">
      <c r="A197" s="74" t="s">
        <v>343</v>
      </c>
      <c r="B197" s="77" t="s">
        <v>344</v>
      </c>
      <c r="C197" s="77" t="s">
        <v>203</v>
      </c>
      <c r="D197" s="16"/>
      <c r="E197" s="16" t="s">
        <v>194</v>
      </c>
      <c r="F197" s="17">
        <f>SUM(F198:F201)</f>
        <v>3782.8</v>
      </c>
      <c r="G197" s="17">
        <f>SUM(G198:G201)</f>
        <v>3782.8</v>
      </c>
      <c r="H197" s="17">
        <f>SUM(H198:H201)</f>
        <v>6200</v>
      </c>
      <c r="I197" s="17">
        <f>SUM(I198:I201)</f>
        <v>5000</v>
      </c>
      <c r="J197" s="16" t="s">
        <v>345</v>
      </c>
      <c r="K197" s="18" t="s">
        <v>330</v>
      </c>
      <c r="L197" s="18">
        <v>5</v>
      </c>
      <c r="M197" s="18">
        <v>9</v>
      </c>
      <c r="N197" s="19">
        <v>7</v>
      </c>
    </row>
    <row r="198" spans="1:14" x14ac:dyDescent="0.25">
      <c r="A198" s="75"/>
      <c r="B198" s="78"/>
      <c r="C198" s="78"/>
      <c r="D198" s="20" t="s">
        <v>34</v>
      </c>
      <c r="E198" s="20"/>
      <c r="F198" s="21">
        <v>1600</v>
      </c>
      <c r="G198" s="21">
        <v>1600</v>
      </c>
      <c r="H198" s="21">
        <v>2450</v>
      </c>
      <c r="I198" s="21">
        <v>750</v>
      </c>
      <c r="J198" s="20"/>
      <c r="K198" s="22"/>
      <c r="L198" s="22"/>
      <c r="M198" s="22"/>
      <c r="N198" s="23"/>
    </row>
    <row r="199" spans="1:14" x14ac:dyDescent="0.25">
      <c r="A199" s="75"/>
      <c r="B199" s="78"/>
      <c r="C199" s="78"/>
      <c r="D199" s="20" t="s">
        <v>323</v>
      </c>
      <c r="E199" s="20"/>
      <c r="F199" s="21">
        <v>1650</v>
      </c>
      <c r="G199" s="21">
        <v>1650</v>
      </c>
      <c r="H199" s="21">
        <v>3750</v>
      </c>
      <c r="I199" s="21">
        <v>4250</v>
      </c>
      <c r="J199" s="20"/>
      <c r="K199" s="22"/>
      <c r="L199" s="22"/>
      <c r="M199" s="22"/>
      <c r="N199" s="23"/>
    </row>
    <row r="200" spans="1:14" x14ac:dyDescent="0.25">
      <c r="A200" s="75"/>
      <c r="B200" s="78"/>
      <c r="C200" s="78"/>
      <c r="D200" s="20" t="s">
        <v>149</v>
      </c>
      <c r="E200" s="20"/>
      <c r="F200" s="21">
        <v>500</v>
      </c>
      <c r="G200" s="21">
        <v>500</v>
      </c>
      <c r="H200" s="21">
        <v>0</v>
      </c>
      <c r="I200" s="21">
        <v>0</v>
      </c>
      <c r="J200" s="20"/>
      <c r="K200" s="22"/>
      <c r="L200" s="22"/>
      <c r="M200" s="22"/>
      <c r="N200" s="23"/>
    </row>
    <row r="201" spans="1:14" ht="15.75" thickBot="1" x14ac:dyDescent="0.3">
      <c r="A201" s="76"/>
      <c r="B201" s="79"/>
      <c r="C201" s="79"/>
      <c r="D201" s="20" t="s">
        <v>32</v>
      </c>
      <c r="E201" s="20"/>
      <c r="F201" s="21">
        <v>32.799999999999997</v>
      </c>
      <c r="G201" s="21">
        <v>32.799999999999997</v>
      </c>
      <c r="H201" s="21">
        <v>0</v>
      </c>
      <c r="I201" s="21">
        <v>0</v>
      </c>
      <c r="J201" s="20"/>
      <c r="K201" s="22"/>
      <c r="L201" s="22"/>
      <c r="M201" s="22"/>
      <c r="N201" s="23"/>
    </row>
    <row r="202" spans="1:14" ht="45.75" thickBot="1" x14ac:dyDescent="0.3">
      <c r="A202" s="24" t="s">
        <v>346</v>
      </c>
      <c r="B202" s="25" t="s">
        <v>347</v>
      </c>
      <c r="C202" s="16" t="s">
        <v>203</v>
      </c>
      <c r="D202" s="16" t="s">
        <v>323</v>
      </c>
      <c r="E202" s="16"/>
      <c r="F202" s="26">
        <v>597.20000000000005</v>
      </c>
      <c r="G202" s="26">
        <v>597.20000000000005</v>
      </c>
      <c r="H202" s="26">
        <v>0</v>
      </c>
      <c r="I202" s="26">
        <v>0</v>
      </c>
      <c r="J202" s="16" t="s">
        <v>204</v>
      </c>
      <c r="K202" s="18" t="s">
        <v>25</v>
      </c>
      <c r="L202" s="18">
        <v>1</v>
      </c>
      <c r="M202" s="18"/>
      <c r="N202" s="19"/>
    </row>
    <row r="203" spans="1:14" ht="60.75" thickBot="1" x14ac:dyDescent="0.3">
      <c r="A203" s="24" t="s">
        <v>348</v>
      </c>
      <c r="B203" s="25" t="s">
        <v>349</v>
      </c>
      <c r="C203" s="16" t="s">
        <v>184</v>
      </c>
      <c r="D203" s="16" t="s">
        <v>34</v>
      </c>
      <c r="E203" s="16"/>
      <c r="F203" s="26">
        <v>694.8</v>
      </c>
      <c r="G203" s="26">
        <v>694.8</v>
      </c>
      <c r="H203" s="26">
        <v>694.8</v>
      </c>
      <c r="I203" s="26">
        <v>694.8</v>
      </c>
      <c r="J203" s="16" t="s">
        <v>350</v>
      </c>
      <c r="K203" s="18" t="s">
        <v>330</v>
      </c>
      <c r="L203" s="36">
        <v>600000</v>
      </c>
      <c r="M203" s="36">
        <v>600000</v>
      </c>
      <c r="N203" s="37">
        <v>600000</v>
      </c>
    </row>
    <row r="204" spans="1:14" ht="26.25" customHeight="1" thickBot="1" x14ac:dyDescent="0.3">
      <c r="A204" s="14" t="s">
        <v>351</v>
      </c>
      <c r="B204" s="89" t="s">
        <v>352</v>
      </c>
      <c r="C204" s="90"/>
      <c r="D204" s="90"/>
      <c r="E204" s="91"/>
      <c r="F204" s="15">
        <f>F205+F209</f>
        <v>2990.2</v>
      </c>
      <c r="G204" s="15">
        <f>G205+G209</f>
        <v>3070.2</v>
      </c>
      <c r="H204" s="15">
        <f>H205+H209</f>
        <v>3220</v>
      </c>
      <c r="I204" s="15">
        <f>I205+I209</f>
        <v>3250</v>
      </c>
      <c r="J204" s="71"/>
      <c r="K204" s="72"/>
      <c r="L204" s="72"/>
      <c r="M204" s="72"/>
      <c r="N204" s="73"/>
    </row>
    <row r="205" spans="1:14" x14ac:dyDescent="0.25">
      <c r="A205" s="74" t="s">
        <v>353</v>
      </c>
      <c r="B205" s="77" t="s">
        <v>354</v>
      </c>
      <c r="C205" s="77" t="s">
        <v>184</v>
      </c>
      <c r="D205" s="16"/>
      <c r="E205" s="16" t="s">
        <v>194</v>
      </c>
      <c r="F205" s="17">
        <f>SUM(F206:F208)</f>
        <v>2506.1999999999998</v>
      </c>
      <c r="G205" s="17">
        <f>SUM(G206:G208)</f>
        <v>2586.1999999999998</v>
      </c>
      <c r="H205" s="17">
        <f>SUM(H206:H208)</f>
        <v>3000</v>
      </c>
      <c r="I205" s="17">
        <f>SUM(I206:I208)</f>
        <v>3000</v>
      </c>
      <c r="J205" s="16" t="s">
        <v>355</v>
      </c>
      <c r="K205" s="18" t="s">
        <v>25</v>
      </c>
      <c r="L205" s="18">
        <v>7</v>
      </c>
      <c r="M205" s="18">
        <v>4</v>
      </c>
      <c r="N205" s="19">
        <v>7</v>
      </c>
    </row>
    <row r="206" spans="1:14" x14ac:dyDescent="0.25">
      <c r="A206" s="75"/>
      <c r="B206" s="78"/>
      <c r="C206" s="78"/>
      <c r="D206" s="20" t="s">
        <v>34</v>
      </c>
      <c r="E206" s="20"/>
      <c r="F206" s="21">
        <v>1006.2</v>
      </c>
      <c r="G206" s="21">
        <v>1006.2</v>
      </c>
      <c r="H206" s="21">
        <v>2000</v>
      </c>
      <c r="I206" s="21">
        <v>2000</v>
      </c>
      <c r="J206" s="20" t="s">
        <v>356</v>
      </c>
      <c r="K206" s="22" t="s">
        <v>330</v>
      </c>
      <c r="L206" s="22">
        <v>2.8</v>
      </c>
      <c r="M206" s="22">
        <v>2.2999999999999998</v>
      </c>
      <c r="N206" s="23">
        <v>3.1</v>
      </c>
    </row>
    <row r="207" spans="1:14" x14ac:dyDescent="0.25">
      <c r="A207" s="75"/>
      <c r="B207" s="78"/>
      <c r="C207" s="78"/>
      <c r="D207" s="20" t="s">
        <v>275</v>
      </c>
      <c r="E207" s="20"/>
      <c r="F207" s="21">
        <v>1000</v>
      </c>
      <c r="G207" s="21">
        <v>1580</v>
      </c>
      <c r="H207" s="21">
        <v>1000</v>
      </c>
      <c r="I207" s="21">
        <v>1000</v>
      </c>
      <c r="J207" s="20"/>
      <c r="K207" s="22"/>
      <c r="L207" s="22"/>
      <c r="M207" s="22"/>
      <c r="N207" s="23"/>
    </row>
    <row r="208" spans="1:14" ht="15.75" thickBot="1" x14ac:dyDescent="0.3">
      <c r="A208" s="76"/>
      <c r="B208" s="79"/>
      <c r="C208" s="79"/>
      <c r="D208" s="20" t="s">
        <v>149</v>
      </c>
      <c r="E208" s="20"/>
      <c r="F208" s="21">
        <v>500</v>
      </c>
      <c r="G208" s="21"/>
      <c r="H208" s="21"/>
      <c r="I208" s="21"/>
      <c r="J208" s="20"/>
      <c r="K208" s="22"/>
      <c r="L208" s="22"/>
      <c r="M208" s="22"/>
      <c r="N208" s="23"/>
    </row>
    <row r="209" spans="1:14" ht="45" x14ac:dyDescent="0.25">
      <c r="A209" s="74" t="s">
        <v>357</v>
      </c>
      <c r="B209" s="77" t="s">
        <v>358</v>
      </c>
      <c r="C209" s="77" t="s">
        <v>184</v>
      </c>
      <c r="D209" s="16"/>
      <c r="E209" s="16"/>
      <c r="F209" s="17">
        <f>SUM(F210:F211)</f>
        <v>484</v>
      </c>
      <c r="G209" s="17">
        <f>SUM(G210:G211)</f>
        <v>484</v>
      </c>
      <c r="H209" s="17">
        <f>SUM(H210:H211)</f>
        <v>220</v>
      </c>
      <c r="I209" s="17">
        <f>SUM(I210:I211)</f>
        <v>250</v>
      </c>
      <c r="J209" s="16" t="s">
        <v>359</v>
      </c>
      <c r="K209" s="18" t="s">
        <v>25</v>
      </c>
      <c r="L209" s="18">
        <v>20</v>
      </c>
      <c r="M209" s="18">
        <v>30</v>
      </c>
      <c r="N209" s="19">
        <v>35</v>
      </c>
    </row>
    <row r="210" spans="1:14" x14ac:dyDescent="0.25">
      <c r="A210" s="75"/>
      <c r="B210" s="78"/>
      <c r="C210" s="78"/>
      <c r="D210" s="20" t="s">
        <v>34</v>
      </c>
      <c r="E210" s="20"/>
      <c r="F210" s="21">
        <v>200</v>
      </c>
      <c r="G210" s="21">
        <v>200</v>
      </c>
      <c r="H210" s="21">
        <v>220</v>
      </c>
      <c r="I210" s="21">
        <v>250</v>
      </c>
      <c r="J210" s="20"/>
      <c r="K210" s="22"/>
      <c r="L210" s="22"/>
      <c r="M210" s="22"/>
      <c r="N210" s="23"/>
    </row>
    <row r="211" spans="1:14" ht="15.75" thickBot="1" x14ac:dyDescent="0.3">
      <c r="A211" s="76"/>
      <c r="B211" s="79"/>
      <c r="C211" s="79"/>
      <c r="D211" s="20" t="s">
        <v>32</v>
      </c>
      <c r="E211" s="20"/>
      <c r="F211" s="21">
        <v>284</v>
      </c>
      <c r="G211" s="21">
        <v>284</v>
      </c>
      <c r="H211" s="21">
        <v>0</v>
      </c>
      <c r="I211" s="21">
        <v>0</v>
      </c>
      <c r="J211" s="20"/>
      <c r="K211" s="22"/>
      <c r="L211" s="22"/>
      <c r="M211" s="22"/>
      <c r="N211" s="23"/>
    </row>
    <row r="212" spans="1:14" ht="30.75" thickBot="1" x14ac:dyDescent="0.3">
      <c r="A212" s="6" t="s">
        <v>360</v>
      </c>
      <c r="B212" s="7" t="s">
        <v>361</v>
      </c>
      <c r="C212" s="80" t="s">
        <v>362</v>
      </c>
      <c r="D212" s="81"/>
      <c r="E212" s="82"/>
      <c r="F212" s="8">
        <f>SUM(F213:F213)</f>
        <v>3815.6</v>
      </c>
      <c r="G212" s="8">
        <f>SUM(G213:G213)</f>
        <v>3555.3</v>
      </c>
      <c r="H212" s="8">
        <f>SUM(H213:H213)</f>
        <v>905</v>
      </c>
      <c r="I212" s="8">
        <f>SUM(I213:I213)</f>
        <v>2577</v>
      </c>
      <c r="J212" s="83"/>
      <c r="K212" s="84"/>
      <c r="L212" s="84"/>
      <c r="M212" s="84"/>
      <c r="N212" s="85"/>
    </row>
    <row r="213" spans="1:14" x14ac:dyDescent="0.25">
      <c r="A213" s="92" t="s">
        <v>363</v>
      </c>
      <c r="B213" s="95" t="s">
        <v>364</v>
      </c>
      <c r="C213" s="96"/>
      <c r="D213" s="96"/>
      <c r="E213" s="97"/>
      <c r="F213" s="10">
        <f>F214+F215+F216+F217+F225</f>
        <v>3815.6</v>
      </c>
      <c r="G213" s="10">
        <f>G214+G215+G216+G217+G225</f>
        <v>3555.3</v>
      </c>
      <c r="H213" s="10">
        <f>H214+H215+H216+H217+H225</f>
        <v>905</v>
      </c>
      <c r="I213" s="10">
        <f>I214+I215+I216+I217+I225</f>
        <v>2577</v>
      </c>
      <c r="J213" s="11" t="s">
        <v>365</v>
      </c>
      <c r="K213" s="12" t="s">
        <v>20</v>
      </c>
      <c r="L213" s="12">
        <v>2.5</v>
      </c>
      <c r="M213" s="12">
        <v>2.7</v>
      </c>
      <c r="N213" s="13">
        <v>3</v>
      </c>
    </row>
    <row r="214" spans="1:14" x14ac:dyDescent="0.25">
      <c r="A214" s="93"/>
      <c r="B214" s="98"/>
      <c r="C214" s="99"/>
      <c r="D214" s="99"/>
      <c r="E214" s="100"/>
      <c r="F214" s="27">
        <v>0</v>
      </c>
      <c r="G214" s="27">
        <v>0</v>
      </c>
      <c r="H214" s="27">
        <v>0</v>
      </c>
      <c r="I214" s="27">
        <v>0</v>
      </c>
      <c r="J214" s="28" t="s">
        <v>366</v>
      </c>
      <c r="K214" s="29" t="s">
        <v>25</v>
      </c>
      <c r="L214" s="29">
        <v>12</v>
      </c>
      <c r="M214" s="29">
        <v>14</v>
      </c>
      <c r="N214" s="30">
        <v>20</v>
      </c>
    </row>
    <row r="215" spans="1:14" x14ac:dyDescent="0.25">
      <c r="A215" s="93"/>
      <c r="B215" s="98"/>
      <c r="C215" s="99"/>
      <c r="D215" s="99"/>
      <c r="E215" s="100"/>
      <c r="F215" s="27">
        <v>0</v>
      </c>
      <c r="G215" s="27">
        <v>0</v>
      </c>
      <c r="H215" s="27">
        <v>0</v>
      </c>
      <c r="I215" s="27">
        <v>0</v>
      </c>
      <c r="J215" s="28" t="s">
        <v>367</v>
      </c>
      <c r="K215" s="29" t="s">
        <v>20</v>
      </c>
      <c r="L215" s="29">
        <v>4.5</v>
      </c>
      <c r="M215" s="29">
        <v>4.8</v>
      </c>
      <c r="N215" s="30">
        <v>5.2</v>
      </c>
    </row>
    <row r="216" spans="1:14" ht="30.75" thickBot="1" x14ac:dyDescent="0.3">
      <c r="A216" s="94"/>
      <c r="B216" s="101"/>
      <c r="C216" s="102"/>
      <c r="D216" s="102"/>
      <c r="E216" s="103"/>
      <c r="F216" s="27">
        <v>0</v>
      </c>
      <c r="G216" s="27">
        <v>0</v>
      </c>
      <c r="H216" s="27">
        <v>0</v>
      </c>
      <c r="I216" s="27">
        <v>0</v>
      </c>
      <c r="J216" s="28" t="s">
        <v>368</v>
      </c>
      <c r="K216" s="29" t="s">
        <v>20</v>
      </c>
      <c r="L216" s="29">
        <v>15</v>
      </c>
      <c r="M216" s="29">
        <v>18</v>
      </c>
      <c r="N216" s="30">
        <v>20</v>
      </c>
    </row>
    <row r="217" spans="1:14" ht="27.75" customHeight="1" thickBot="1" x14ac:dyDescent="0.3">
      <c r="A217" s="14" t="s">
        <v>369</v>
      </c>
      <c r="B217" s="89" t="s">
        <v>370</v>
      </c>
      <c r="C217" s="90"/>
      <c r="D217" s="90"/>
      <c r="E217" s="91"/>
      <c r="F217" s="15">
        <f>F218+F219+F222+F224</f>
        <v>122</v>
      </c>
      <c r="G217" s="15">
        <f>G218+G219+G222+G224</f>
        <v>122</v>
      </c>
      <c r="H217" s="15">
        <f>H218+H219+H222+H224</f>
        <v>123</v>
      </c>
      <c r="I217" s="15">
        <f>I218+I219+I222+I224</f>
        <v>127</v>
      </c>
      <c r="J217" s="71"/>
      <c r="K217" s="72"/>
      <c r="L217" s="72"/>
      <c r="M217" s="72"/>
      <c r="N217" s="73"/>
    </row>
    <row r="218" spans="1:14" ht="30.75" thickBot="1" x14ac:dyDescent="0.3">
      <c r="A218" s="24" t="s">
        <v>371</v>
      </c>
      <c r="B218" s="25" t="s">
        <v>372</v>
      </c>
      <c r="C218" s="16" t="s">
        <v>362</v>
      </c>
      <c r="D218" s="16" t="s">
        <v>34</v>
      </c>
      <c r="E218" s="16"/>
      <c r="F218" s="26">
        <v>49.7</v>
      </c>
      <c r="G218" s="26">
        <v>50.4</v>
      </c>
      <c r="H218" s="26">
        <v>50</v>
      </c>
      <c r="I218" s="26">
        <v>50</v>
      </c>
      <c r="J218" s="16" t="s">
        <v>373</v>
      </c>
      <c r="K218" s="18" t="s">
        <v>25</v>
      </c>
      <c r="L218" s="18">
        <v>9</v>
      </c>
      <c r="M218" s="18">
        <v>9</v>
      </c>
      <c r="N218" s="19">
        <v>9</v>
      </c>
    </row>
    <row r="219" spans="1:14" x14ac:dyDescent="0.25">
      <c r="A219" s="74" t="s">
        <v>374</v>
      </c>
      <c r="B219" s="77" t="s">
        <v>375</v>
      </c>
      <c r="C219" s="77" t="s">
        <v>362</v>
      </c>
      <c r="D219" s="16" t="s">
        <v>34</v>
      </c>
      <c r="E219" s="16"/>
      <c r="F219" s="17">
        <f>SUM(F220:F221)+22.8</f>
        <v>22.8</v>
      </c>
      <c r="G219" s="17">
        <f>SUM(G220:G221)+22.8</f>
        <v>22.8</v>
      </c>
      <c r="H219" s="17">
        <f>SUM(H220:H221)+23</f>
        <v>23</v>
      </c>
      <c r="I219" s="17">
        <f>SUM(I220:I221)+25</f>
        <v>25</v>
      </c>
      <c r="J219" s="16" t="s">
        <v>376</v>
      </c>
      <c r="K219" s="18" t="s">
        <v>25</v>
      </c>
      <c r="L219" s="18">
        <v>5</v>
      </c>
      <c r="M219" s="18">
        <v>5</v>
      </c>
      <c r="N219" s="19">
        <v>5</v>
      </c>
    </row>
    <row r="220" spans="1:14" x14ac:dyDescent="0.25">
      <c r="A220" s="75"/>
      <c r="B220" s="78"/>
      <c r="C220" s="78"/>
      <c r="D220" s="20"/>
      <c r="E220" s="20"/>
      <c r="F220" s="21">
        <v>0</v>
      </c>
      <c r="G220" s="21">
        <v>0</v>
      </c>
      <c r="H220" s="21">
        <v>0</v>
      </c>
      <c r="I220" s="21">
        <v>0</v>
      </c>
      <c r="J220" s="20" t="s">
        <v>377</v>
      </c>
      <c r="K220" s="22" t="s">
        <v>25</v>
      </c>
      <c r="L220" s="22">
        <v>6</v>
      </c>
      <c r="M220" s="22">
        <v>6</v>
      </c>
      <c r="N220" s="23">
        <v>6</v>
      </c>
    </row>
    <row r="221" spans="1:14" ht="15.75" thickBot="1" x14ac:dyDescent="0.3">
      <c r="A221" s="76"/>
      <c r="B221" s="79"/>
      <c r="C221" s="79"/>
      <c r="D221" s="20"/>
      <c r="E221" s="20"/>
      <c r="F221" s="21">
        <v>0</v>
      </c>
      <c r="G221" s="21">
        <v>0</v>
      </c>
      <c r="H221" s="21">
        <v>0</v>
      </c>
      <c r="I221" s="21">
        <v>0</v>
      </c>
      <c r="J221" s="20" t="s">
        <v>378</v>
      </c>
      <c r="K221" s="22" t="s">
        <v>379</v>
      </c>
      <c r="L221" s="22">
        <v>280</v>
      </c>
      <c r="M221" s="22">
        <v>280</v>
      </c>
      <c r="N221" s="23">
        <v>280</v>
      </c>
    </row>
    <row r="222" spans="1:14" x14ac:dyDescent="0.25">
      <c r="A222" s="74" t="s">
        <v>380</v>
      </c>
      <c r="B222" s="77" t="s">
        <v>381</v>
      </c>
      <c r="C222" s="77" t="s">
        <v>362</v>
      </c>
      <c r="D222" s="16" t="s">
        <v>34</v>
      </c>
      <c r="E222" s="16"/>
      <c r="F222" s="17">
        <f>SUM(F223:F223)+45.5</f>
        <v>45.5</v>
      </c>
      <c r="G222" s="17">
        <f>SUM(G223:G223)+45.5</f>
        <v>45.5</v>
      </c>
      <c r="H222" s="17">
        <f>SUM(H223:H223)+46</f>
        <v>46</v>
      </c>
      <c r="I222" s="17">
        <f>SUM(I223:I223)+48</f>
        <v>48</v>
      </c>
      <c r="J222" s="16" t="s">
        <v>382</v>
      </c>
      <c r="K222" s="18" t="s">
        <v>251</v>
      </c>
      <c r="L222" s="18">
        <v>35</v>
      </c>
      <c r="M222" s="18">
        <v>35</v>
      </c>
      <c r="N222" s="19">
        <v>35</v>
      </c>
    </row>
    <row r="223" spans="1:14" ht="30.75" thickBot="1" x14ac:dyDescent="0.3">
      <c r="A223" s="76"/>
      <c r="B223" s="79"/>
      <c r="C223" s="79"/>
      <c r="D223" s="20"/>
      <c r="E223" s="20"/>
      <c r="F223" s="21">
        <v>0</v>
      </c>
      <c r="G223" s="21">
        <v>0</v>
      </c>
      <c r="H223" s="21">
        <v>0</v>
      </c>
      <c r="I223" s="21">
        <v>0</v>
      </c>
      <c r="J223" s="20" t="s">
        <v>383</v>
      </c>
      <c r="K223" s="22" t="s">
        <v>25</v>
      </c>
      <c r="L223" s="22">
        <v>15</v>
      </c>
      <c r="M223" s="22">
        <v>15</v>
      </c>
      <c r="N223" s="23">
        <v>15</v>
      </c>
    </row>
    <row r="224" spans="1:14" ht="78.75" customHeight="1" thickBot="1" x14ac:dyDescent="0.3">
      <c r="A224" s="24" t="s">
        <v>384</v>
      </c>
      <c r="B224" s="25" t="s">
        <v>385</v>
      </c>
      <c r="C224" s="16" t="s">
        <v>362</v>
      </c>
      <c r="D224" s="16" t="s">
        <v>34</v>
      </c>
      <c r="E224" s="16"/>
      <c r="F224" s="26">
        <v>4</v>
      </c>
      <c r="G224" s="26">
        <v>3.3</v>
      </c>
      <c r="H224" s="26">
        <v>4</v>
      </c>
      <c r="I224" s="26">
        <v>4</v>
      </c>
      <c r="J224" s="16" t="s">
        <v>386</v>
      </c>
      <c r="K224" s="18" t="s">
        <v>251</v>
      </c>
      <c r="L224" s="18">
        <v>10</v>
      </c>
      <c r="M224" s="18">
        <v>10</v>
      </c>
      <c r="N224" s="19">
        <v>10</v>
      </c>
    </row>
    <row r="225" spans="1:14" ht="25.5" customHeight="1" thickBot="1" x14ac:dyDescent="0.3">
      <c r="A225" s="14" t="s">
        <v>387</v>
      </c>
      <c r="B225" s="89" t="s">
        <v>388</v>
      </c>
      <c r="C225" s="90"/>
      <c r="D225" s="90"/>
      <c r="E225" s="91"/>
      <c r="F225" s="15">
        <f>F226+F229+F234+F236+F240+F249</f>
        <v>3693.6</v>
      </c>
      <c r="G225" s="15">
        <f>G226+G229+G234+G236+G240+G249</f>
        <v>3433.3</v>
      </c>
      <c r="H225" s="15">
        <f>H226+H229+H234+H236+H240+H249</f>
        <v>782</v>
      </c>
      <c r="I225" s="15">
        <f>I226+I229+I234+I236+I240+I249</f>
        <v>2450</v>
      </c>
      <c r="J225" s="71"/>
      <c r="K225" s="72"/>
      <c r="L225" s="72"/>
      <c r="M225" s="72"/>
      <c r="N225" s="73"/>
    </row>
    <row r="226" spans="1:14" ht="30" x14ac:dyDescent="0.25">
      <c r="A226" s="74" t="s">
        <v>389</v>
      </c>
      <c r="B226" s="77" t="s">
        <v>390</v>
      </c>
      <c r="C226" s="77" t="s">
        <v>391</v>
      </c>
      <c r="D226" s="16"/>
      <c r="E226" s="16"/>
      <c r="F226" s="17">
        <f>SUM(F227:F228)</f>
        <v>150</v>
      </c>
      <c r="G226" s="17">
        <f>SUM(G227:G228)</f>
        <v>150</v>
      </c>
      <c r="H226" s="17">
        <f>SUM(H227:H228)</f>
        <v>100</v>
      </c>
      <c r="I226" s="17">
        <f>SUM(I227:I228)</f>
        <v>100</v>
      </c>
      <c r="J226" s="16" t="s">
        <v>392</v>
      </c>
      <c r="K226" s="18" t="s">
        <v>25</v>
      </c>
      <c r="L226" s="18">
        <v>15</v>
      </c>
      <c r="M226" s="18">
        <v>15</v>
      </c>
      <c r="N226" s="19">
        <v>15</v>
      </c>
    </row>
    <row r="227" spans="1:14" x14ac:dyDescent="0.25">
      <c r="A227" s="75"/>
      <c r="B227" s="78"/>
      <c r="C227" s="78"/>
      <c r="D227" s="20" t="s">
        <v>34</v>
      </c>
      <c r="E227" s="20"/>
      <c r="F227" s="21">
        <v>100</v>
      </c>
      <c r="G227" s="21">
        <v>100</v>
      </c>
      <c r="H227" s="21">
        <v>100</v>
      </c>
      <c r="I227" s="21">
        <v>100</v>
      </c>
      <c r="J227" s="20"/>
      <c r="K227" s="22"/>
      <c r="L227" s="22"/>
      <c r="M227" s="22"/>
      <c r="N227" s="23"/>
    </row>
    <row r="228" spans="1:14" ht="15.75" thickBot="1" x14ac:dyDescent="0.3">
      <c r="A228" s="76"/>
      <c r="B228" s="79"/>
      <c r="C228" s="79"/>
      <c r="D228" s="20" t="s">
        <v>32</v>
      </c>
      <c r="E228" s="20"/>
      <c r="F228" s="21">
        <v>50</v>
      </c>
      <c r="G228" s="21">
        <v>50</v>
      </c>
      <c r="H228" s="21">
        <v>0</v>
      </c>
      <c r="I228" s="21">
        <v>0</v>
      </c>
      <c r="J228" s="20"/>
      <c r="K228" s="22"/>
      <c r="L228" s="22"/>
      <c r="M228" s="22"/>
      <c r="N228" s="23"/>
    </row>
    <row r="229" spans="1:14" x14ac:dyDescent="0.25">
      <c r="A229" s="74" t="s">
        <v>393</v>
      </c>
      <c r="B229" s="77" t="s">
        <v>394</v>
      </c>
      <c r="C229" s="77" t="s">
        <v>395</v>
      </c>
      <c r="D229" s="16"/>
      <c r="E229" s="16"/>
      <c r="F229" s="17">
        <f>SUM(F230:F233)</f>
        <v>2851.6</v>
      </c>
      <c r="G229" s="17">
        <f>SUM(G230:G233)</f>
        <v>2591.3000000000002</v>
      </c>
      <c r="H229" s="17">
        <f>SUM(H230:H233)</f>
        <v>240</v>
      </c>
      <c r="I229" s="17">
        <f>SUM(I230:I233)</f>
        <v>1040</v>
      </c>
      <c r="J229" s="16" t="s">
        <v>396</v>
      </c>
      <c r="K229" s="18" t="s">
        <v>25</v>
      </c>
      <c r="L229" s="18">
        <v>2</v>
      </c>
      <c r="M229" s="18"/>
      <c r="N229" s="19"/>
    </row>
    <row r="230" spans="1:14" ht="15.75" customHeight="1" x14ac:dyDescent="0.25">
      <c r="A230" s="75"/>
      <c r="B230" s="78"/>
      <c r="C230" s="78"/>
      <c r="D230" s="20" t="s">
        <v>32</v>
      </c>
      <c r="E230" s="20"/>
      <c r="F230" s="21">
        <v>961.6</v>
      </c>
      <c r="G230" s="21">
        <v>701.3</v>
      </c>
      <c r="H230" s="21">
        <v>0</v>
      </c>
      <c r="I230" s="21">
        <v>0</v>
      </c>
      <c r="J230" s="20" t="s">
        <v>397</v>
      </c>
      <c r="K230" s="22" t="s">
        <v>209</v>
      </c>
      <c r="L230" s="22">
        <v>1</v>
      </c>
      <c r="M230" s="22"/>
      <c r="N230" s="23"/>
    </row>
    <row r="231" spans="1:14" ht="30" x14ac:dyDescent="0.25">
      <c r="A231" s="75"/>
      <c r="B231" s="78"/>
      <c r="C231" s="78"/>
      <c r="D231" s="20" t="s">
        <v>34</v>
      </c>
      <c r="E231" s="20"/>
      <c r="F231" s="21">
        <v>1890</v>
      </c>
      <c r="G231" s="21">
        <v>1890</v>
      </c>
      <c r="H231" s="21">
        <v>240</v>
      </c>
      <c r="I231" s="21">
        <v>1040</v>
      </c>
      <c r="J231" s="20" t="s">
        <v>398</v>
      </c>
      <c r="K231" s="22" t="s">
        <v>209</v>
      </c>
      <c r="L231" s="22">
        <v>1</v>
      </c>
      <c r="M231" s="22"/>
      <c r="N231" s="23"/>
    </row>
    <row r="232" spans="1:14" ht="30" x14ac:dyDescent="0.25">
      <c r="A232" s="75"/>
      <c r="B232" s="78"/>
      <c r="C232" s="78"/>
      <c r="D232" s="20"/>
      <c r="E232" s="20"/>
      <c r="F232" s="21">
        <v>0</v>
      </c>
      <c r="G232" s="21">
        <v>0</v>
      </c>
      <c r="H232" s="21">
        <v>0</v>
      </c>
      <c r="I232" s="21">
        <v>0</v>
      </c>
      <c r="J232" s="20" t="s">
        <v>399</v>
      </c>
      <c r="K232" s="22" t="s">
        <v>209</v>
      </c>
      <c r="L232" s="22">
        <v>1</v>
      </c>
      <c r="M232" s="22"/>
      <c r="N232" s="23"/>
    </row>
    <row r="233" spans="1:14" ht="30.75" thickBot="1" x14ac:dyDescent="0.3">
      <c r="A233" s="76"/>
      <c r="B233" s="79"/>
      <c r="C233" s="79"/>
      <c r="D233" s="20"/>
      <c r="E233" s="20"/>
      <c r="F233" s="21">
        <v>0</v>
      </c>
      <c r="G233" s="21">
        <v>0</v>
      </c>
      <c r="H233" s="21">
        <v>0</v>
      </c>
      <c r="I233" s="21">
        <v>0</v>
      </c>
      <c r="J233" s="20" t="s">
        <v>400</v>
      </c>
      <c r="K233" s="22" t="s">
        <v>20</v>
      </c>
      <c r="L233" s="22">
        <v>10</v>
      </c>
      <c r="M233" s="22">
        <v>30</v>
      </c>
      <c r="N233" s="23">
        <v>100</v>
      </c>
    </row>
    <row r="234" spans="1:14" ht="30" x14ac:dyDescent="0.25">
      <c r="A234" s="74" t="s">
        <v>401</v>
      </c>
      <c r="B234" s="77" t="s">
        <v>402</v>
      </c>
      <c r="C234" s="77" t="s">
        <v>403</v>
      </c>
      <c r="D234" s="16" t="s">
        <v>34</v>
      </c>
      <c r="E234" s="16"/>
      <c r="F234" s="17">
        <f>SUM(F235:F235)+470</f>
        <v>470</v>
      </c>
      <c r="G234" s="17">
        <f>SUM(G235:G235)+470</f>
        <v>470</v>
      </c>
      <c r="H234" s="17">
        <f>SUM(H235:H235)+220</f>
        <v>220</v>
      </c>
      <c r="I234" s="17">
        <f>SUM(I235:I235)+170</f>
        <v>170</v>
      </c>
      <c r="J234" s="16" t="s">
        <v>404</v>
      </c>
      <c r="K234" s="18" t="s">
        <v>20</v>
      </c>
      <c r="L234" s="18">
        <v>100</v>
      </c>
      <c r="M234" s="18">
        <v>100</v>
      </c>
      <c r="N234" s="19">
        <v>100</v>
      </c>
    </row>
    <row r="235" spans="1:14" ht="15.75" thickBot="1" x14ac:dyDescent="0.3">
      <c r="A235" s="76"/>
      <c r="B235" s="79"/>
      <c r="C235" s="79"/>
      <c r="D235" s="20"/>
      <c r="E235" s="20"/>
      <c r="F235" s="21">
        <v>0</v>
      </c>
      <c r="G235" s="21">
        <v>0</v>
      </c>
      <c r="H235" s="21">
        <v>0</v>
      </c>
      <c r="I235" s="21">
        <v>0</v>
      </c>
      <c r="J235" s="20" t="s">
        <v>405</v>
      </c>
      <c r="K235" s="22" t="s">
        <v>25</v>
      </c>
      <c r="L235" s="22">
        <v>1</v>
      </c>
      <c r="M235" s="22">
        <v>1</v>
      </c>
      <c r="N235" s="23"/>
    </row>
    <row r="236" spans="1:14" x14ac:dyDescent="0.25">
      <c r="A236" s="74" t="s">
        <v>406</v>
      </c>
      <c r="B236" s="77" t="s">
        <v>407</v>
      </c>
      <c r="C236" s="77" t="s">
        <v>408</v>
      </c>
      <c r="D236" s="16" t="s">
        <v>34</v>
      </c>
      <c r="E236" s="16"/>
      <c r="F236" s="17">
        <f>SUM(F237:F239)+100</f>
        <v>100</v>
      </c>
      <c r="G236" s="17">
        <f>SUM(G237:G239)+100</f>
        <v>100</v>
      </c>
      <c r="H236" s="17">
        <f>SUM(H237:H239)+100</f>
        <v>100</v>
      </c>
      <c r="I236" s="17">
        <f>SUM(I237:I239)+1000</f>
        <v>1000</v>
      </c>
      <c r="J236" s="16" t="s">
        <v>409</v>
      </c>
      <c r="K236" s="18" t="s">
        <v>20</v>
      </c>
      <c r="L236" s="18">
        <v>100</v>
      </c>
      <c r="M236" s="18"/>
      <c r="N236" s="19"/>
    </row>
    <row r="237" spans="1:14" ht="30" x14ac:dyDescent="0.25">
      <c r="A237" s="75"/>
      <c r="B237" s="78"/>
      <c r="C237" s="78"/>
      <c r="D237" s="20"/>
      <c r="E237" s="20"/>
      <c r="F237" s="21">
        <v>0</v>
      </c>
      <c r="G237" s="21">
        <v>0</v>
      </c>
      <c r="H237" s="21">
        <v>0</v>
      </c>
      <c r="I237" s="21">
        <v>0</v>
      </c>
      <c r="J237" s="20" t="s">
        <v>410</v>
      </c>
      <c r="K237" s="22" t="s">
        <v>25</v>
      </c>
      <c r="L237" s="22"/>
      <c r="M237" s="22">
        <v>1</v>
      </c>
      <c r="N237" s="23"/>
    </row>
    <row r="238" spans="1:14" ht="15" customHeight="1" x14ac:dyDescent="0.25">
      <c r="A238" s="75"/>
      <c r="B238" s="78"/>
      <c r="C238" s="78"/>
      <c r="D238" s="20"/>
      <c r="E238" s="20"/>
      <c r="F238" s="21">
        <v>0</v>
      </c>
      <c r="G238" s="21">
        <v>0</v>
      </c>
      <c r="H238" s="21">
        <v>0</v>
      </c>
      <c r="I238" s="21">
        <v>0</v>
      </c>
      <c r="J238" s="20" t="s">
        <v>411</v>
      </c>
      <c r="K238" s="22" t="s">
        <v>20</v>
      </c>
      <c r="L238" s="22"/>
      <c r="M238" s="22"/>
      <c r="N238" s="23">
        <v>100</v>
      </c>
    </row>
    <row r="239" spans="1:14" ht="30.75" thickBot="1" x14ac:dyDescent="0.3">
      <c r="A239" s="76"/>
      <c r="B239" s="79"/>
      <c r="C239" s="79"/>
      <c r="D239" s="20"/>
      <c r="E239" s="20"/>
      <c r="F239" s="21">
        <v>0</v>
      </c>
      <c r="G239" s="21">
        <v>0</v>
      </c>
      <c r="H239" s="21">
        <v>0</v>
      </c>
      <c r="I239" s="21">
        <v>0</v>
      </c>
      <c r="J239" s="20" t="s">
        <v>412</v>
      </c>
      <c r="K239" s="22" t="s">
        <v>20</v>
      </c>
      <c r="L239" s="22"/>
      <c r="M239" s="22"/>
      <c r="N239" s="23">
        <v>100</v>
      </c>
    </row>
    <row r="240" spans="1:14" x14ac:dyDescent="0.25">
      <c r="A240" s="74" t="s">
        <v>413</v>
      </c>
      <c r="B240" s="77" t="s">
        <v>414</v>
      </c>
      <c r="C240" s="77" t="s">
        <v>362</v>
      </c>
      <c r="D240" s="16" t="s">
        <v>34</v>
      </c>
      <c r="E240" s="16"/>
      <c r="F240" s="17">
        <f>SUM(F241:F248)+48.5</f>
        <v>48.5</v>
      </c>
      <c r="G240" s="17">
        <f>SUM(G241:G248)+48.5</f>
        <v>48.5</v>
      </c>
      <c r="H240" s="17">
        <f>SUM(H241:H248)+48.5</f>
        <v>48.5</v>
      </c>
      <c r="I240" s="17">
        <f>SUM(I241:I248)+50</f>
        <v>50</v>
      </c>
      <c r="J240" s="16" t="s">
        <v>415</v>
      </c>
      <c r="K240" s="18" t="s">
        <v>25</v>
      </c>
      <c r="L240" s="18">
        <v>3</v>
      </c>
      <c r="M240" s="18">
        <v>4</v>
      </c>
      <c r="N240" s="19">
        <v>4</v>
      </c>
    </row>
    <row r="241" spans="1:14" x14ac:dyDescent="0.25">
      <c r="A241" s="75"/>
      <c r="B241" s="78"/>
      <c r="C241" s="78"/>
      <c r="D241" s="20"/>
      <c r="E241" s="20"/>
      <c r="F241" s="21">
        <v>0</v>
      </c>
      <c r="G241" s="21">
        <v>0</v>
      </c>
      <c r="H241" s="21">
        <v>0</v>
      </c>
      <c r="I241" s="21">
        <v>0</v>
      </c>
      <c r="J241" s="20" t="s">
        <v>416</v>
      </c>
      <c r="K241" s="22" t="s">
        <v>25</v>
      </c>
      <c r="L241" s="22">
        <v>1</v>
      </c>
      <c r="M241" s="22">
        <v>1</v>
      </c>
      <c r="N241" s="23">
        <v>1</v>
      </c>
    </row>
    <row r="242" spans="1:14" ht="30" x14ac:dyDescent="0.25">
      <c r="A242" s="75"/>
      <c r="B242" s="78"/>
      <c r="C242" s="78"/>
      <c r="D242" s="20"/>
      <c r="E242" s="20"/>
      <c r="F242" s="21">
        <v>0</v>
      </c>
      <c r="G242" s="21">
        <v>0</v>
      </c>
      <c r="H242" s="21">
        <v>0</v>
      </c>
      <c r="I242" s="21">
        <v>0</v>
      </c>
      <c r="J242" s="20" t="s">
        <v>417</v>
      </c>
      <c r="K242" s="22" t="s">
        <v>25</v>
      </c>
      <c r="L242" s="22">
        <v>6</v>
      </c>
      <c r="M242" s="22">
        <v>6</v>
      </c>
      <c r="N242" s="23">
        <v>6</v>
      </c>
    </row>
    <row r="243" spans="1:14" x14ac:dyDescent="0.25">
      <c r="A243" s="75"/>
      <c r="B243" s="78"/>
      <c r="C243" s="78"/>
      <c r="D243" s="20"/>
      <c r="E243" s="20"/>
      <c r="F243" s="21">
        <v>0</v>
      </c>
      <c r="G243" s="21">
        <v>0</v>
      </c>
      <c r="H243" s="21">
        <v>0</v>
      </c>
      <c r="I243" s="21">
        <v>0</v>
      </c>
      <c r="J243" s="20" t="s">
        <v>418</v>
      </c>
      <c r="K243" s="22" t="s">
        <v>25</v>
      </c>
      <c r="L243" s="22">
        <v>1</v>
      </c>
      <c r="M243" s="22">
        <v>1</v>
      </c>
      <c r="N243" s="23">
        <v>1</v>
      </c>
    </row>
    <row r="244" spans="1:14" ht="30" x14ac:dyDescent="0.25">
      <c r="A244" s="75"/>
      <c r="B244" s="78"/>
      <c r="C244" s="78"/>
      <c r="D244" s="20"/>
      <c r="E244" s="20"/>
      <c r="F244" s="21">
        <v>0</v>
      </c>
      <c r="G244" s="21">
        <v>0</v>
      </c>
      <c r="H244" s="21">
        <v>0</v>
      </c>
      <c r="I244" s="21">
        <v>0</v>
      </c>
      <c r="J244" s="20" t="s">
        <v>419</v>
      </c>
      <c r="K244" s="22" t="s">
        <v>25</v>
      </c>
      <c r="L244" s="22">
        <v>1</v>
      </c>
      <c r="M244" s="22">
        <v>1</v>
      </c>
      <c r="N244" s="23">
        <v>1</v>
      </c>
    </row>
    <row r="245" spans="1:14" x14ac:dyDescent="0.25">
      <c r="A245" s="75"/>
      <c r="B245" s="78"/>
      <c r="C245" s="78"/>
      <c r="D245" s="20"/>
      <c r="E245" s="20"/>
      <c r="F245" s="21">
        <v>0</v>
      </c>
      <c r="G245" s="21">
        <v>0</v>
      </c>
      <c r="H245" s="21">
        <v>0</v>
      </c>
      <c r="I245" s="21">
        <v>0</v>
      </c>
      <c r="J245" s="20" t="s">
        <v>420</v>
      </c>
      <c r="K245" s="22" t="s">
        <v>25</v>
      </c>
      <c r="L245" s="22">
        <v>1</v>
      </c>
      <c r="M245" s="22">
        <v>1</v>
      </c>
      <c r="N245" s="23">
        <v>1</v>
      </c>
    </row>
    <row r="246" spans="1:14" ht="30" x14ac:dyDescent="0.25">
      <c r="A246" s="75"/>
      <c r="B246" s="78"/>
      <c r="C246" s="78"/>
      <c r="D246" s="20"/>
      <c r="E246" s="20"/>
      <c r="F246" s="21">
        <v>0</v>
      </c>
      <c r="G246" s="21">
        <v>0</v>
      </c>
      <c r="H246" s="21">
        <v>0</v>
      </c>
      <c r="I246" s="21">
        <v>0</v>
      </c>
      <c r="J246" s="20" t="s">
        <v>421</v>
      </c>
      <c r="K246" s="22" t="s">
        <v>25</v>
      </c>
      <c r="L246" s="22">
        <v>1</v>
      </c>
      <c r="M246" s="22">
        <v>1</v>
      </c>
      <c r="N246" s="23">
        <v>1</v>
      </c>
    </row>
    <row r="247" spans="1:14" ht="27.75" customHeight="1" x14ac:dyDescent="0.25">
      <c r="A247" s="75"/>
      <c r="B247" s="78"/>
      <c r="C247" s="78"/>
      <c r="D247" s="20"/>
      <c r="E247" s="20"/>
      <c r="F247" s="21">
        <v>0</v>
      </c>
      <c r="G247" s="21">
        <v>0</v>
      </c>
      <c r="H247" s="21">
        <v>0</v>
      </c>
      <c r="I247" s="21">
        <v>0</v>
      </c>
      <c r="J247" s="20" t="s">
        <v>422</v>
      </c>
      <c r="K247" s="22" t="s">
        <v>25</v>
      </c>
      <c r="L247" s="22">
        <v>1</v>
      </c>
      <c r="M247" s="22">
        <v>1</v>
      </c>
      <c r="N247" s="23">
        <v>1</v>
      </c>
    </row>
    <row r="248" spans="1:14" ht="45.75" thickBot="1" x14ac:dyDescent="0.3">
      <c r="A248" s="76"/>
      <c r="B248" s="79"/>
      <c r="C248" s="79"/>
      <c r="D248" s="20"/>
      <c r="E248" s="20"/>
      <c r="F248" s="21">
        <v>0</v>
      </c>
      <c r="G248" s="21">
        <v>0</v>
      </c>
      <c r="H248" s="21">
        <v>0</v>
      </c>
      <c r="I248" s="21">
        <v>0</v>
      </c>
      <c r="J248" s="20" t="s">
        <v>423</v>
      </c>
      <c r="K248" s="22" t="s">
        <v>25</v>
      </c>
      <c r="L248" s="22"/>
      <c r="M248" s="22">
        <v>1</v>
      </c>
      <c r="N248" s="23"/>
    </row>
    <row r="249" spans="1:14" ht="30.75" thickBot="1" x14ac:dyDescent="0.3">
      <c r="A249" s="24" t="s">
        <v>424</v>
      </c>
      <c r="B249" s="25" t="s">
        <v>425</v>
      </c>
      <c r="C249" s="16" t="s">
        <v>362</v>
      </c>
      <c r="D249" s="16" t="s">
        <v>34</v>
      </c>
      <c r="E249" s="16"/>
      <c r="F249" s="26">
        <v>73.5</v>
      </c>
      <c r="G249" s="26">
        <v>73.5</v>
      </c>
      <c r="H249" s="26">
        <v>73.5</v>
      </c>
      <c r="I249" s="26">
        <v>90</v>
      </c>
      <c r="J249" s="16" t="s">
        <v>426</v>
      </c>
      <c r="K249" s="18" t="s">
        <v>25</v>
      </c>
      <c r="L249" s="18">
        <v>12</v>
      </c>
      <c r="M249" s="18">
        <v>12</v>
      </c>
      <c r="N249" s="19">
        <v>12</v>
      </c>
    </row>
    <row r="250" spans="1:14" ht="30.75" thickBot="1" x14ac:dyDescent="0.3">
      <c r="A250" s="6" t="s">
        <v>427</v>
      </c>
      <c r="B250" s="7" t="s">
        <v>428</v>
      </c>
      <c r="C250" s="80" t="s">
        <v>429</v>
      </c>
      <c r="D250" s="81"/>
      <c r="E250" s="82"/>
      <c r="F250" s="8">
        <f>SUM(F251:F251)</f>
        <v>1712</v>
      </c>
      <c r="G250" s="8">
        <f>SUM(G251:G251)</f>
        <v>1740.2</v>
      </c>
      <c r="H250" s="8">
        <f>SUM(H251:H251)</f>
        <v>1597.1</v>
      </c>
      <c r="I250" s="8">
        <f>SUM(I251:I251)</f>
        <v>1600.6</v>
      </c>
      <c r="J250" s="83"/>
      <c r="K250" s="84"/>
      <c r="L250" s="84"/>
      <c r="M250" s="84"/>
      <c r="N250" s="85"/>
    </row>
    <row r="251" spans="1:14" ht="39" customHeight="1" thickBot="1" x14ac:dyDescent="0.3">
      <c r="A251" s="9" t="s">
        <v>430</v>
      </c>
      <c r="B251" s="86" t="s">
        <v>431</v>
      </c>
      <c r="C251" s="87"/>
      <c r="D251" s="87"/>
      <c r="E251" s="88"/>
      <c r="F251" s="10">
        <f>F252+F260+F269</f>
        <v>1712</v>
      </c>
      <c r="G251" s="10">
        <f>G252+G260+G269</f>
        <v>1740.2</v>
      </c>
      <c r="H251" s="10">
        <f>H252+H260+H269</f>
        <v>1597.1</v>
      </c>
      <c r="I251" s="10">
        <f>I252+I260+I269</f>
        <v>1600.6</v>
      </c>
      <c r="J251" s="11" t="s">
        <v>432</v>
      </c>
      <c r="K251" s="12" t="s">
        <v>20</v>
      </c>
      <c r="L251" s="12">
        <v>90</v>
      </c>
      <c r="M251" s="12">
        <v>92</v>
      </c>
      <c r="N251" s="13">
        <v>96</v>
      </c>
    </row>
    <row r="252" spans="1:14" ht="27.75" customHeight="1" thickBot="1" x14ac:dyDescent="0.3">
      <c r="A252" s="14" t="s">
        <v>433</v>
      </c>
      <c r="B252" s="89" t="s">
        <v>434</v>
      </c>
      <c r="C252" s="90"/>
      <c r="D252" s="90"/>
      <c r="E252" s="91"/>
      <c r="F252" s="15">
        <f>F253+F256+F257</f>
        <v>148.9</v>
      </c>
      <c r="G252" s="15">
        <f>G253+G256+G257</f>
        <v>148.9</v>
      </c>
      <c r="H252" s="15">
        <f>H253+H256+H257</f>
        <v>150</v>
      </c>
      <c r="I252" s="15">
        <f>I253+I256+I257</f>
        <v>150</v>
      </c>
      <c r="J252" s="71"/>
      <c r="K252" s="72"/>
      <c r="L252" s="72"/>
      <c r="M252" s="72"/>
      <c r="N252" s="73"/>
    </row>
    <row r="253" spans="1:14" ht="30" x14ac:dyDescent="0.25">
      <c r="A253" s="74" t="s">
        <v>435</v>
      </c>
      <c r="B253" s="77" t="s">
        <v>436</v>
      </c>
      <c r="C253" s="77" t="s">
        <v>429</v>
      </c>
      <c r="D253" s="16"/>
      <c r="E253" s="16"/>
      <c r="F253" s="17">
        <f>SUM(F254:F255)</f>
        <v>58</v>
      </c>
      <c r="G253" s="17">
        <f>SUM(G254:G255)</f>
        <v>58</v>
      </c>
      <c r="H253" s="17">
        <f>SUM(H254:H255)</f>
        <v>50</v>
      </c>
      <c r="I253" s="17">
        <f>SUM(I254:I255)</f>
        <v>50</v>
      </c>
      <c r="J253" s="16" t="s">
        <v>437</v>
      </c>
      <c r="K253" s="18" t="s">
        <v>25</v>
      </c>
      <c r="L253" s="18">
        <v>100</v>
      </c>
      <c r="M253" s="18">
        <v>100</v>
      </c>
      <c r="N253" s="19">
        <v>100</v>
      </c>
    </row>
    <row r="254" spans="1:14" x14ac:dyDescent="0.25">
      <c r="A254" s="75"/>
      <c r="B254" s="78"/>
      <c r="C254" s="78"/>
      <c r="D254" s="20" t="s">
        <v>32</v>
      </c>
      <c r="E254" s="20"/>
      <c r="F254" s="21">
        <v>8</v>
      </c>
      <c r="G254" s="21">
        <v>8</v>
      </c>
      <c r="H254" s="21">
        <v>0</v>
      </c>
      <c r="I254" s="21">
        <v>0</v>
      </c>
      <c r="J254" s="20"/>
      <c r="K254" s="22"/>
      <c r="L254" s="22"/>
      <c r="M254" s="22"/>
      <c r="N254" s="23"/>
    </row>
    <row r="255" spans="1:14" ht="15.75" thickBot="1" x14ac:dyDescent="0.3">
      <c r="A255" s="76"/>
      <c r="B255" s="79"/>
      <c r="C255" s="79"/>
      <c r="D255" s="20" t="s">
        <v>34</v>
      </c>
      <c r="E255" s="20"/>
      <c r="F255" s="21">
        <v>50</v>
      </c>
      <c r="G255" s="21">
        <v>50</v>
      </c>
      <c r="H255" s="21">
        <v>50</v>
      </c>
      <c r="I255" s="21">
        <v>50</v>
      </c>
      <c r="J255" s="20"/>
      <c r="K255" s="22"/>
      <c r="L255" s="22"/>
      <c r="M255" s="22"/>
      <c r="N255" s="23"/>
    </row>
    <row r="256" spans="1:14" ht="30.75" thickBot="1" x14ac:dyDescent="0.3">
      <c r="A256" s="24" t="s">
        <v>438</v>
      </c>
      <c r="B256" s="25" t="s">
        <v>439</v>
      </c>
      <c r="C256" s="16" t="s">
        <v>429</v>
      </c>
      <c r="D256" s="16" t="s">
        <v>34</v>
      </c>
      <c r="E256" s="16"/>
      <c r="F256" s="26">
        <v>20</v>
      </c>
      <c r="G256" s="26">
        <v>20</v>
      </c>
      <c r="H256" s="26">
        <v>30</v>
      </c>
      <c r="I256" s="26">
        <v>30</v>
      </c>
      <c r="J256" s="16" t="s">
        <v>440</v>
      </c>
      <c r="K256" s="18" t="s">
        <v>20</v>
      </c>
      <c r="L256" s="18">
        <v>100</v>
      </c>
      <c r="M256" s="18">
        <v>100</v>
      </c>
      <c r="N256" s="19">
        <v>100</v>
      </c>
    </row>
    <row r="257" spans="1:14" ht="48.75" customHeight="1" x14ac:dyDescent="0.25">
      <c r="A257" s="74" t="s">
        <v>441</v>
      </c>
      <c r="B257" s="77" t="s">
        <v>442</v>
      </c>
      <c r="C257" s="77" t="s">
        <v>443</v>
      </c>
      <c r="D257" s="16"/>
      <c r="E257" s="16"/>
      <c r="F257" s="17">
        <f>SUM(F258:F259)</f>
        <v>70.900000000000006</v>
      </c>
      <c r="G257" s="17">
        <f>SUM(G258:G259)</f>
        <v>70.900000000000006</v>
      </c>
      <c r="H257" s="17">
        <f>SUM(H258:H259)</f>
        <v>70</v>
      </c>
      <c r="I257" s="17">
        <f>SUM(I258:I259)</f>
        <v>70</v>
      </c>
      <c r="J257" s="16" t="s">
        <v>444</v>
      </c>
      <c r="K257" s="18" t="s">
        <v>25</v>
      </c>
      <c r="L257" s="18">
        <v>5</v>
      </c>
      <c r="M257" s="18">
        <v>5</v>
      </c>
      <c r="N257" s="19">
        <v>5</v>
      </c>
    </row>
    <row r="258" spans="1:14" x14ac:dyDescent="0.25">
      <c r="A258" s="75"/>
      <c r="B258" s="78"/>
      <c r="C258" s="78"/>
      <c r="D258" s="20" t="s">
        <v>32</v>
      </c>
      <c r="E258" s="20"/>
      <c r="F258" s="21">
        <v>0.9</v>
      </c>
      <c r="G258" s="21">
        <v>0.9</v>
      </c>
      <c r="H258" s="21">
        <v>0</v>
      </c>
      <c r="I258" s="21">
        <v>0</v>
      </c>
      <c r="J258" s="20"/>
      <c r="K258" s="22"/>
      <c r="L258" s="22"/>
      <c r="M258" s="22"/>
      <c r="N258" s="23"/>
    </row>
    <row r="259" spans="1:14" ht="15.75" thickBot="1" x14ac:dyDescent="0.3">
      <c r="A259" s="76"/>
      <c r="B259" s="79"/>
      <c r="C259" s="79"/>
      <c r="D259" s="20" t="s">
        <v>34</v>
      </c>
      <c r="E259" s="20"/>
      <c r="F259" s="21">
        <v>70</v>
      </c>
      <c r="G259" s="21">
        <v>70</v>
      </c>
      <c r="H259" s="21">
        <v>70</v>
      </c>
      <c r="I259" s="21">
        <v>70</v>
      </c>
      <c r="J259" s="20"/>
      <c r="K259" s="22"/>
      <c r="L259" s="22"/>
      <c r="M259" s="22"/>
      <c r="N259" s="23"/>
    </row>
    <row r="260" spans="1:14" ht="29.25" customHeight="1" thickBot="1" x14ac:dyDescent="0.3">
      <c r="A260" s="14" t="s">
        <v>445</v>
      </c>
      <c r="B260" s="89" t="s">
        <v>446</v>
      </c>
      <c r="C260" s="90"/>
      <c r="D260" s="90"/>
      <c r="E260" s="91"/>
      <c r="F260" s="15">
        <f>F261+F263+F264+F265+F268</f>
        <v>889.1</v>
      </c>
      <c r="G260" s="15">
        <f>G261+G263+G264+G265+G268</f>
        <v>889.1</v>
      </c>
      <c r="H260" s="15">
        <f>H261+H263+H264+H265+H268</f>
        <v>859.5</v>
      </c>
      <c r="I260" s="15">
        <f>I261+I263+I264+I265+I268</f>
        <v>863</v>
      </c>
      <c r="J260" s="71"/>
      <c r="K260" s="72"/>
      <c r="L260" s="72"/>
      <c r="M260" s="72"/>
      <c r="N260" s="73"/>
    </row>
    <row r="261" spans="1:14" ht="61.5" customHeight="1" x14ac:dyDescent="0.25">
      <c r="A261" s="74" t="s">
        <v>447</v>
      </c>
      <c r="B261" s="77" t="s">
        <v>448</v>
      </c>
      <c r="C261" s="77" t="s">
        <v>449</v>
      </c>
      <c r="D261" s="16" t="s">
        <v>34</v>
      </c>
      <c r="E261" s="16"/>
      <c r="F261" s="17">
        <f>SUM(F262:F262)+349</f>
        <v>349</v>
      </c>
      <c r="G261" s="17">
        <f>SUM(G262:G262)+349</f>
        <v>349</v>
      </c>
      <c r="H261" s="17">
        <f>SUM(H262:H262)+360</f>
        <v>360</v>
      </c>
      <c r="I261" s="17">
        <f>SUM(I262:I262)+363</f>
        <v>363</v>
      </c>
      <c r="J261" s="16" t="s">
        <v>450</v>
      </c>
      <c r="K261" s="18" t="s">
        <v>20</v>
      </c>
      <c r="L261" s="18">
        <v>100</v>
      </c>
      <c r="M261" s="18">
        <v>100</v>
      </c>
      <c r="N261" s="19">
        <v>100</v>
      </c>
    </row>
    <row r="262" spans="1:14" ht="15.75" thickBot="1" x14ac:dyDescent="0.3">
      <c r="A262" s="76"/>
      <c r="B262" s="79"/>
      <c r="C262" s="79"/>
      <c r="D262" s="20"/>
      <c r="E262" s="20"/>
      <c r="F262" s="21">
        <v>0</v>
      </c>
      <c r="G262" s="21">
        <v>0</v>
      </c>
      <c r="H262" s="21">
        <v>0</v>
      </c>
      <c r="I262" s="21">
        <v>0</v>
      </c>
      <c r="J262" s="20" t="s">
        <v>451</v>
      </c>
      <c r="K262" s="22" t="s">
        <v>25</v>
      </c>
      <c r="L262" s="22">
        <v>3</v>
      </c>
      <c r="M262" s="22">
        <v>3</v>
      </c>
      <c r="N262" s="23">
        <v>3</v>
      </c>
    </row>
    <row r="263" spans="1:14" ht="60.75" thickBot="1" x14ac:dyDescent="0.3">
      <c r="A263" s="24" t="s">
        <v>452</v>
      </c>
      <c r="B263" s="25" t="s">
        <v>453</v>
      </c>
      <c r="C263" s="16" t="s">
        <v>429</v>
      </c>
      <c r="D263" s="16" t="s">
        <v>34</v>
      </c>
      <c r="E263" s="16"/>
      <c r="F263" s="26">
        <v>52.5</v>
      </c>
      <c r="G263" s="26">
        <v>52.5</v>
      </c>
      <c r="H263" s="26">
        <v>54.5</v>
      </c>
      <c r="I263" s="26">
        <v>54.5</v>
      </c>
      <c r="J263" s="16" t="s">
        <v>454</v>
      </c>
      <c r="K263" s="18" t="s">
        <v>20</v>
      </c>
      <c r="L263" s="18">
        <v>100</v>
      </c>
      <c r="M263" s="18">
        <v>100</v>
      </c>
      <c r="N263" s="19">
        <v>100</v>
      </c>
    </row>
    <row r="264" spans="1:14" ht="60.75" thickBot="1" x14ac:dyDescent="0.3">
      <c r="A264" s="24" t="s">
        <v>455</v>
      </c>
      <c r="B264" s="25" t="s">
        <v>456</v>
      </c>
      <c r="C264" s="16" t="s">
        <v>429</v>
      </c>
      <c r="D264" s="16" t="s">
        <v>34</v>
      </c>
      <c r="E264" s="16"/>
      <c r="F264" s="26">
        <v>2</v>
      </c>
      <c r="G264" s="26">
        <v>2</v>
      </c>
      <c r="H264" s="26">
        <v>2</v>
      </c>
      <c r="I264" s="26">
        <v>2.5</v>
      </c>
      <c r="J264" s="16" t="s">
        <v>457</v>
      </c>
      <c r="K264" s="18" t="s">
        <v>25</v>
      </c>
      <c r="L264" s="18">
        <v>5</v>
      </c>
      <c r="M264" s="18">
        <v>3</v>
      </c>
      <c r="N264" s="19">
        <v>3</v>
      </c>
    </row>
    <row r="265" spans="1:14" ht="63" customHeight="1" x14ac:dyDescent="0.25">
      <c r="A265" s="74" t="s">
        <v>458</v>
      </c>
      <c r="B265" s="77" t="s">
        <v>459</v>
      </c>
      <c r="C265" s="77" t="s">
        <v>429</v>
      </c>
      <c r="D265" s="16"/>
      <c r="E265" s="16"/>
      <c r="F265" s="17">
        <f>SUM(F266:F267)</f>
        <v>483.1</v>
      </c>
      <c r="G265" s="17">
        <f>SUM(G266:G267)</f>
        <v>483.1</v>
      </c>
      <c r="H265" s="17">
        <f>SUM(H266:H267)</f>
        <v>440</v>
      </c>
      <c r="I265" s="17">
        <f>SUM(I266:I267)</f>
        <v>440</v>
      </c>
      <c r="J265" s="16" t="s">
        <v>460</v>
      </c>
      <c r="K265" s="18" t="s">
        <v>20</v>
      </c>
      <c r="L265" s="18">
        <v>100</v>
      </c>
      <c r="M265" s="18">
        <v>100</v>
      </c>
      <c r="N265" s="19">
        <v>100</v>
      </c>
    </row>
    <row r="266" spans="1:14" x14ac:dyDescent="0.25">
      <c r="A266" s="75"/>
      <c r="B266" s="78"/>
      <c r="C266" s="78"/>
      <c r="D266" s="20" t="s">
        <v>32</v>
      </c>
      <c r="E266" s="20"/>
      <c r="F266" s="21">
        <v>48.1</v>
      </c>
      <c r="G266" s="21">
        <v>48.1</v>
      </c>
      <c r="H266" s="21">
        <v>0</v>
      </c>
      <c r="I266" s="21">
        <v>0</v>
      </c>
      <c r="J266" s="20"/>
      <c r="K266" s="22"/>
      <c r="L266" s="22"/>
      <c r="M266" s="22"/>
      <c r="N266" s="23"/>
    </row>
    <row r="267" spans="1:14" ht="15.75" thickBot="1" x14ac:dyDescent="0.3">
      <c r="A267" s="76"/>
      <c r="B267" s="79"/>
      <c r="C267" s="79"/>
      <c r="D267" s="20" t="s">
        <v>34</v>
      </c>
      <c r="E267" s="20"/>
      <c r="F267" s="21">
        <v>435</v>
      </c>
      <c r="G267" s="21">
        <v>435</v>
      </c>
      <c r="H267" s="21">
        <v>440</v>
      </c>
      <c r="I267" s="21">
        <v>440</v>
      </c>
      <c r="J267" s="20"/>
      <c r="K267" s="22"/>
      <c r="L267" s="22"/>
      <c r="M267" s="22"/>
      <c r="N267" s="23"/>
    </row>
    <row r="268" spans="1:14" ht="45.75" thickBot="1" x14ac:dyDescent="0.3">
      <c r="A268" s="24" t="s">
        <v>461</v>
      </c>
      <c r="B268" s="25" t="s">
        <v>462</v>
      </c>
      <c r="C268" s="16" t="s">
        <v>429</v>
      </c>
      <c r="D268" s="16" t="s">
        <v>34</v>
      </c>
      <c r="E268" s="16"/>
      <c r="F268" s="26">
        <v>2.5</v>
      </c>
      <c r="G268" s="26">
        <v>2.5</v>
      </c>
      <c r="H268" s="26">
        <v>3</v>
      </c>
      <c r="I268" s="26">
        <v>3</v>
      </c>
      <c r="J268" s="16" t="s">
        <v>463</v>
      </c>
      <c r="K268" s="18" t="s">
        <v>20</v>
      </c>
      <c r="L268" s="18">
        <v>100</v>
      </c>
      <c r="M268" s="18">
        <v>100</v>
      </c>
      <c r="N268" s="19">
        <v>100</v>
      </c>
    </row>
    <row r="269" spans="1:14" ht="29.25" customHeight="1" thickBot="1" x14ac:dyDescent="0.3">
      <c r="A269" s="14" t="s">
        <v>464</v>
      </c>
      <c r="B269" s="89" t="s">
        <v>465</v>
      </c>
      <c r="C269" s="90"/>
      <c r="D269" s="90"/>
      <c r="E269" s="91"/>
      <c r="F269" s="15">
        <f>F270+F271+F276+F277</f>
        <v>674</v>
      </c>
      <c r="G269" s="15">
        <f>G270+G271+G276+G277</f>
        <v>702.2</v>
      </c>
      <c r="H269" s="15">
        <f>H270+H271+H276+H277</f>
        <v>587.6</v>
      </c>
      <c r="I269" s="15">
        <f>I270+I271+I276+I277</f>
        <v>587.6</v>
      </c>
      <c r="J269" s="71"/>
      <c r="K269" s="72"/>
      <c r="L269" s="72"/>
      <c r="M269" s="72"/>
      <c r="N269" s="73"/>
    </row>
    <row r="270" spans="1:14" ht="30.75" thickBot="1" x14ac:dyDescent="0.3">
      <c r="A270" s="24" t="s">
        <v>466</v>
      </c>
      <c r="B270" s="25" t="s">
        <v>467</v>
      </c>
      <c r="C270" s="16" t="s">
        <v>429</v>
      </c>
      <c r="D270" s="16" t="s">
        <v>32</v>
      </c>
      <c r="E270" s="16"/>
      <c r="F270" s="26">
        <v>160.9</v>
      </c>
      <c r="G270" s="26">
        <v>160.9</v>
      </c>
      <c r="H270" s="26">
        <v>0</v>
      </c>
      <c r="I270" s="26">
        <v>0</v>
      </c>
      <c r="J270" s="16" t="s">
        <v>468</v>
      </c>
      <c r="K270" s="18" t="s">
        <v>251</v>
      </c>
      <c r="L270" s="18">
        <v>3</v>
      </c>
      <c r="M270" s="18"/>
      <c r="N270" s="19"/>
    </row>
    <row r="271" spans="1:14" x14ac:dyDescent="0.25">
      <c r="A271" s="74" t="s">
        <v>469</v>
      </c>
      <c r="B271" s="77" t="s">
        <v>470</v>
      </c>
      <c r="C271" s="77" t="s">
        <v>471</v>
      </c>
      <c r="D271" s="16"/>
      <c r="E271" s="16"/>
      <c r="F271" s="17">
        <f>SUM(F272:F275)</f>
        <v>425.5</v>
      </c>
      <c r="G271" s="17">
        <f>SUM(G272:G275)</f>
        <v>453.7</v>
      </c>
      <c r="H271" s="17">
        <f>SUM(H272:H275)</f>
        <v>500</v>
      </c>
      <c r="I271" s="17">
        <f>SUM(I272:I275)</f>
        <v>500</v>
      </c>
      <c r="J271" s="16" t="s">
        <v>468</v>
      </c>
      <c r="K271" s="18" t="s">
        <v>251</v>
      </c>
      <c r="L271" s="18">
        <v>3</v>
      </c>
      <c r="M271" s="18">
        <v>6</v>
      </c>
      <c r="N271" s="19">
        <v>6</v>
      </c>
    </row>
    <row r="272" spans="1:14" ht="30" x14ac:dyDescent="0.25">
      <c r="A272" s="75"/>
      <c r="B272" s="78"/>
      <c r="C272" s="78"/>
      <c r="D272" s="20" t="s">
        <v>34</v>
      </c>
      <c r="E272" s="20"/>
      <c r="F272" s="21">
        <v>37.5</v>
      </c>
      <c r="G272" s="21">
        <v>37.5</v>
      </c>
      <c r="H272" s="21">
        <v>75</v>
      </c>
      <c r="I272" s="21">
        <v>75</v>
      </c>
      <c r="J272" s="20" t="s">
        <v>472</v>
      </c>
      <c r="K272" s="22" t="s">
        <v>25</v>
      </c>
      <c r="L272" s="22">
        <v>1</v>
      </c>
      <c r="M272" s="22"/>
      <c r="N272" s="23"/>
    </row>
    <row r="273" spans="1:14" x14ac:dyDescent="0.25">
      <c r="A273" s="75"/>
      <c r="B273" s="78"/>
      <c r="C273" s="78"/>
      <c r="D273" s="20" t="s">
        <v>323</v>
      </c>
      <c r="E273" s="20"/>
      <c r="F273" s="21">
        <v>335.7</v>
      </c>
      <c r="G273" s="21">
        <v>343.4</v>
      </c>
      <c r="H273" s="21">
        <v>425</v>
      </c>
      <c r="I273" s="21">
        <v>425</v>
      </c>
      <c r="J273" s="20"/>
      <c r="K273" s="22"/>
      <c r="L273" s="22"/>
      <c r="M273" s="22"/>
      <c r="N273" s="23"/>
    </row>
    <row r="274" spans="1:14" x14ac:dyDescent="0.25">
      <c r="A274" s="75"/>
      <c r="B274" s="78"/>
      <c r="C274" s="78"/>
      <c r="D274" s="20" t="s">
        <v>32</v>
      </c>
      <c r="E274" s="20"/>
      <c r="F274" s="21">
        <v>52.3</v>
      </c>
      <c r="G274" s="21">
        <v>52.3</v>
      </c>
      <c r="H274" s="21"/>
      <c r="I274" s="21"/>
      <c r="J274" s="20"/>
      <c r="K274" s="22"/>
      <c r="L274" s="22"/>
      <c r="M274" s="22"/>
      <c r="N274" s="23"/>
    </row>
    <row r="275" spans="1:14" ht="15.75" thickBot="1" x14ac:dyDescent="0.3">
      <c r="A275" s="76"/>
      <c r="B275" s="79"/>
      <c r="C275" s="79"/>
      <c r="D275" s="20" t="s">
        <v>123</v>
      </c>
      <c r="E275" s="20"/>
      <c r="F275" s="21"/>
      <c r="G275" s="21">
        <v>20.5</v>
      </c>
      <c r="H275" s="21"/>
      <c r="I275" s="21"/>
      <c r="J275" s="20"/>
      <c r="K275" s="22"/>
      <c r="L275" s="22"/>
      <c r="M275" s="22"/>
      <c r="N275" s="23"/>
    </row>
    <row r="276" spans="1:14" ht="45.75" thickBot="1" x14ac:dyDescent="0.3">
      <c r="A276" s="24" t="s">
        <v>473</v>
      </c>
      <c r="B276" s="25" t="s">
        <v>474</v>
      </c>
      <c r="C276" s="16" t="s">
        <v>429</v>
      </c>
      <c r="D276" s="16" t="s">
        <v>475</v>
      </c>
      <c r="E276" s="16"/>
      <c r="F276" s="26">
        <v>73.599999999999994</v>
      </c>
      <c r="G276" s="26">
        <v>73.599999999999994</v>
      </c>
      <c r="H276" s="26">
        <v>73.599999999999994</v>
      </c>
      <c r="I276" s="26">
        <v>73.599999999999994</v>
      </c>
      <c r="J276" s="16" t="s">
        <v>440</v>
      </c>
      <c r="K276" s="18" t="s">
        <v>20</v>
      </c>
      <c r="L276" s="18">
        <v>100</v>
      </c>
      <c r="M276" s="18">
        <v>100</v>
      </c>
      <c r="N276" s="19">
        <v>100</v>
      </c>
    </row>
    <row r="277" spans="1:14" ht="30.75" thickBot="1" x14ac:dyDescent="0.3">
      <c r="A277" s="24" t="s">
        <v>476</v>
      </c>
      <c r="B277" s="25" t="s">
        <v>477</v>
      </c>
      <c r="C277" s="16" t="s">
        <v>429</v>
      </c>
      <c r="D277" s="16" t="s">
        <v>34</v>
      </c>
      <c r="E277" s="16"/>
      <c r="F277" s="26">
        <v>14</v>
      </c>
      <c r="G277" s="26">
        <v>14</v>
      </c>
      <c r="H277" s="26">
        <v>14</v>
      </c>
      <c r="I277" s="26">
        <v>14</v>
      </c>
      <c r="J277" s="16" t="s">
        <v>478</v>
      </c>
      <c r="K277" s="18" t="s">
        <v>251</v>
      </c>
      <c r="L277" s="18">
        <v>28</v>
      </c>
      <c r="M277" s="18">
        <v>28</v>
      </c>
      <c r="N277" s="19">
        <v>28</v>
      </c>
    </row>
    <row r="278" spans="1:14" ht="26.25" customHeight="1" thickBot="1" x14ac:dyDescent="0.3">
      <c r="A278" s="6" t="s">
        <v>479</v>
      </c>
      <c r="B278" s="7" t="s">
        <v>480</v>
      </c>
      <c r="C278" s="80" t="s">
        <v>481</v>
      </c>
      <c r="D278" s="81"/>
      <c r="E278" s="82"/>
      <c r="F278" s="8">
        <f>SUM(F279:F279)</f>
        <v>18201</v>
      </c>
      <c r="G278" s="8">
        <f>SUM(G279:G279)</f>
        <v>18234.800000000003</v>
      </c>
      <c r="H278" s="8">
        <f>SUM(H279:H279)</f>
        <v>18964.300000000003</v>
      </c>
      <c r="I278" s="8">
        <f>SUM(I279:I279)</f>
        <v>23492.5</v>
      </c>
      <c r="J278" s="83"/>
      <c r="K278" s="84"/>
      <c r="L278" s="84"/>
      <c r="M278" s="84"/>
      <c r="N278" s="85"/>
    </row>
    <row r="279" spans="1:14" x14ac:dyDescent="0.25">
      <c r="A279" s="92" t="s">
        <v>482</v>
      </c>
      <c r="B279" s="95" t="s">
        <v>483</v>
      </c>
      <c r="C279" s="96"/>
      <c r="D279" s="96"/>
      <c r="E279" s="97"/>
      <c r="F279" s="10">
        <f>F280+F281+F311+F332</f>
        <v>18201</v>
      </c>
      <c r="G279" s="10">
        <f>G280+G281+G311+G332</f>
        <v>18234.800000000003</v>
      </c>
      <c r="H279" s="10">
        <f>H280+H281+H311+H332</f>
        <v>18964.300000000003</v>
      </c>
      <c r="I279" s="10">
        <f>I280+I281+I311+I332</f>
        <v>23492.5</v>
      </c>
      <c r="J279" s="11" t="s">
        <v>484</v>
      </c>
      <c r="K279" s="12" t="s">
        <v>251</v>
      </c>
      <c r="L279" s="12">
        <v>70</v>
      </c>
      <c r="M279" s="12">
        <v>70</v>
      </c>
      <c r="N279" s="13">
        <v>70</v>
      </c>
    </row>
    <row r="280" spans="1:14" ht="15.75" thickBot="1" x14ac:dyDescent="0.3">
      <c r="A280" s="94"/>
      <c r="B280" s="101"/>
      <c r="C280" s="102"/>
      <c r="D280" s="102"/>
      <c r="E280" s="103"/>
      <c r="F280" s="27">
        <v>0</v>
      </c>
      <c r="G280" s="27">
        <v>0</v>
      </c>
      <c r="H280" s="27">
        <v>0</v>
      </c>
      <c r="I280" s="27">
        <v>0</v>
      </c>
      <c r="J280" s="28" t="s">
        <v>485</v>
      </c>
      <c r="K280" s="29" t="s">
        <v>251</v>
      </c>
      <c r="L280" s="29">
        <v>18</v>
      </c>
      <c r="M280" s="29">
        <v>19</v>
      </c>
      <c r="N280" s="30">
        <v>20</v>
      </c>
    </row>
    <row r="281" spans="1:14" ht="26.25" customHeight="1" thickBot="1" x14ac:dyDescent="0.3">
      <c r="A281" s="14" t="s">
        <v>486</v>
      </c>
      <c r="B281" s="89" t="s">
        <v>487</v>
      </c>
      <c r="C281" s="90"/>
      <c r="D281" s="90"/>
      <c r="E281" s="91"/>
      <c r="F281" s="15">
        <f>F282+F290+F295+F297+F300+F304+F310</f>
        <v>10088.5</v>
      </c>
      <c r="G281" s="15">
        <f>G282+G290+G295+G297+G300+G304+G310</f>
        <v>10122.300000000001</v>
      </c>
      <c r="H281" s="15">
        <f>H282+H290+H295+H297+H300+H304+H310</f>
        <v>10262.900000000001</v>
      </c>
      <c r="I281" s="15">
        <f>I282+I290+I295+I297+I300+I304+I310</f>
        <v>10972.9</v>
      </c>
      <c r="J281" s="71"/>
      <c r="K281" s="72"/>
      <c r="L281" s="72"/>
      <c r="M281" s="72"/>
      <c r="N281" s="73"/>
    </row>
    <row r="282" spans="1:14" ht="40.5" customHeight="1" x14ac:dyDescent="0.25">
      <c r="A282" s="74" t="s">
        <v>488</v>
      </c>
      <c r="B282" s="77" t="s">
        <v>489</v>
      </c>
      <c r="C282" s="77" t="s">
        <v>481</v>
      </c>
      <c r="D282" s="16" t="s">
        <v>34</v>
      </c>
      <c r="E282" s="16" t="s">
        <v>142</v>
      </c>
      <c r="F282" s="17">
        <f>SUM(F283:F289)+161</f>
        <v>161</v>
      </c>
      <c r="G282" s="17">
        <f>SUM(G283:G289)+161</f>
        <v>161</v>
      </c>
      <c r="H282" s="17">
        <f>SUM(H283:H289)+175</f>
        <v>175</v>
      </c>
      <c r="I282" s="17">
        <f>SUM(I283:I289)+191</f>
        <v>191</v>
      </c>
      <c r="J282" s="16" t="s">
        <v>490</v>
      </c>
      <c r="K282" s="18" t="s">
        <v>251</v>
      </c>
      <c r="L282" s="18">
        <v>260</v>
      </c>
      <c r="M282" s="18">
        <v>265</v>
      </c>
      <c r="N282" s="19">
        <v>268</v>
      </c>
    </row>
    <row r="283" spans="1:14" ht="45" x14ac:dyDescent="0.25">
      <c r="A283" s="75"/>
      <c r="B283" s="78"/>
      <c r="C283" s="78"/>
      <c r="D283" s="20"/>
      <c r="E283" s="20"/>
      <c r="F283" s="21">
        <v>0</v>
      </c>
      <c r="G283" s="21">
        <v>0</v>
      </c>
      <c r="H283" s="21">
        <v>0</v>
      </c>
      <c r="I283" s="21">
        <v>0</v>
      </c>
      <c r="J283" s="20" t="s">
        <v>491</v>
      </c>
      <c r="K283" s="22" t="s">
        <v>251</v>
      </c>
      <c r="L283" s="22">
        <v>565</v>
      </c>
      <c r="M283" s="22">
        <v>570</v>
      </c>
      <c r="N283" s="23">
        <v>570</v>
      </c>
    </row>
    <row r="284" spans="1:14" ht="60" x14ac:dyDescent="0.25">
      <c r="A284" s="75"/>
      <c r="B284" s="78"/>
      <c r="C284" s="78"/>
      <c r="D284" s="20"/>
      <c r="E284" s="20"/>
      <c r="F284" s="21">
        <v>0</v>
      </c>
      <c r="G284" s="21">
        <v>0</v>
      </c>
      <c r="H284" s="21">
        <v>0</v>
      </c>
      <c r="I284" s="21">
        <v>0</v>
      </c>
      <c r="J284" s="20" t="s">
        <v>492</v>
      </c>
      <c r="K284" s="22" t="s">
        <v>251</v>
      </c>
      <c r="L284" s="22">
        <v>37</v>
      </c>
      <c r="M284" s="22">
        <v>38</v>
      </c>
      <c r="N284" s="23">
        <v>39</v>
      </c>
    </row>
    <row r="285" spans="1:14" ht="60" x14ac:dyDescent="0.25">
      <c r="A285" s="75"/>
      <c r="B285" s="78"/>
      <c r="C285" s="78"/>
      <c r="D285" s="20"/>
      <c r="E285" s="20"/>
      <c r="F285" s="21">
        <v>0</v>
      </c>
      <c r="G285" s="21">
        <v>0</v>
      </c>
      <c r="H285" s="21">
        <v>0</v>
      </c>
      <c r="I285" s="21">
        <v>0</v>
      </c>
      <c r="J285" s="20" t="s">
        <v>493</v>
      </c>
      <c r="K285" s="22" t="s">
        <v>251</v>
      </c>
      <c r="L285" s="22">
        <v>25</v>
      </c>
      <c r="M285" s="22">
        <v>26</v>
      </c>
      <c r="N285" s="23">
        <v>27</v>
      </c>
    </row>
    <row r="286" spans="1:14" ht="45" x14ac:dyDescent="0.25">
      <c r="A286" s="75"/>
      <c r="B286" s="78"/>
      <c r="C286" s="78"/>
      <c r="D286" s="20"/>
      <c r="E286" s="20"/>
      <c r="F286" s="21">
        <v>0</v>
      </c>
      <c r="G286" s="21">
        <v>0</v>
      </c>
      <c r="H286" s="21">
        <v>0</v>
      </c>
      <c r="I286" s="21">
        <v>0</v>
      </c>
      <c r="J286" s="20" t="s">
        <v>494</v>
      </c>
      <c r="K286" s="22" t="s">
        <v>251</v>
      </c>
      <c r="L286" s="22">
        <v>32</v>
      </c>
      <c r="M286" s="22">
        <v>33</v>
      </c>
      <c r="N286" s="23">
        <v>35</v>
      </c>
    </row>
    <row r="287" spans="1:14" ht="30" x14ac:dyDescent="0.25">
      <c r="A287" s="75"/>
      <c r="B287" s="78"/>
      <c r="C287" s="78"/>
      <c r="D287" s="20"/>
      <c r="E287" s="20"/>
      <c r="F287" s="21">
        <v>0</v>
      </c>
      <c r="G287" s="21">
        <v>0</v>
      </c>
      <c r="H287" s="21">
        <v>0</v>
      </c>
      <c r="I287" s="21">
        <v>0</v>
      </c>
      <c r="J287" s="20" t="s">
        <v>495</v>
      </c>
      <c r="K287" s="22" t="s">
        <v>251</v>
      </c>
      <c r="L287" s="22">
        <v>128</v>
      </c>
      <c r="M287" s="22">
        <v>131</v>
      </c>
      <c r="N287" s="23">
        <v>133</v>
      </c>
    </row>
    <row r="288" spans="1:14" ht="30" x14ac:dyDescent="0.25">
      <c r="A288" s="75"/>
      <c r="B288" s="78"/>
      <c r="C288" s="78"/>
      <c r="D288" s="20"/>
      <c r="E288" s="20"/>
      <c r="F288" s="21">
        <v>0</v>
      </c>
      <c r="G288" s="21">
        <v>0</v>
      </c>
      <c r="H288" s="21">
        <v>0</v>
      </c>
      <c r="I288" s="21">
        <v>0</v>
      </c>
      <c r="J288" s="20" t="s">
        <v>496</v>
      </c>
      <c r="K288" s="22" t="s">
        <v>251</v>
      </c>
      <c r="L288" s="22">
        <v>195</v>
      </c>
      <c r="M288" s="22">
        <v>198</v>
      </c>
      <c r="N288" s="23">
        <v>201</v>
      </c>
    </row>
    <row r="289" spans="1:14" ht="15.75" thickBot="1" x14ac:dyDescent="0.3">
      <c r="A289" s="76"/>
      <c r="B289" s="79"/>
      <c r="C289" s="79"/>
      <c r="D289" s="20"/>
      <c r="E289" s="20"/>
      <c r="F289" s="21">
        <v>0</v>
      </c>
      <c r="G289" s="21">
        <v>0</v>
      </c>
      <c r="H289" s="21">
        <v>0</v>
      </c>
      <c r="I289" s="21">
        <v>0</v>
      </c>
      <c r="J289" s="20" t="s">
        <v>497</v>
      </c>
      <c r="K289" s="22" t="s">
        <v>251</v>
      </c>
      <c r="L289" s="22">
        <v>177</v>
      </c>
      <c r="M289" s="22">
        <v>179</v>
      </c>
      <c r="N289" s="23">
        <v>180</v>
      </c>
    </row>
    <row r="290" spans="1:14" ht="15" customHeight="1" x14ac:dyDescent="0.25">
      <c r="A290" s="74" t="s">
        <v>498</v>
      </c>
      <c r="B290" s="77" t="s">
        <v>499</v>
      </c>
      <c r="C290" s="77" t="s">
        <v>481</v>
      </c>
      <c r="D290" s="16" t="s">
        <v>34</v>
      </c>
      <c r="E290" s="16" t="s">
        <v>142</v>
      </c>
      <c r="F290" s="17">
        <f>SUM(F291:F294)+359.9</f>
        <v>359.9</v>
      </c>
      <c r="G290" s="17">
        <f>SUM(G291:G294)+359.9</f>
        <v>359.9</v>
      </c>
      <c r="H290" s="17">
        <f>SUM(H291:H294)+360</f>
        <v>360</v>
      </c>
      <c r="I290" s="17">
        <f>SUM(I291:I294)+396</f>
        <v>396</v>
      </c>
      <c r="J290" s="16" t="s">
        <v>500</v>
      </c>
      <c r="K290" s="18" t="s">
        <v>251</v>
      </c>
      <c r="L290" s="18">
        <v>14</v>
      </c>
      <c r="M290" s="18">
        <v>14</v>
      </c>
      <c r="N290" s="19">
        <v>14</v>
      </c>
    </row>
    <row r="291" spans="1:14" ht="30" x14ac:dyDescent="0.25">
      <c r="A291" s="75"/>
      <c r="B291" s="78"/>
      <c r="C291" s="78"/>
      <c r="D291" s="20"/>
      <c r="E291" s="20"/>
      <c r="F291" s="21">
        <v>0</v>
      </c>
      <c r="G291" s="21">
        <v>0</v>
      </c>
      <c r="H291" s="21">
        <v>0</v>
      </c>
      <c r="I291" s="21">
        <v>0</v>
      </c>
      <c r="J291" s="20" t="s">
        <v>501</v>
      </c>
      <c r="K291" s="22" t="s">
        <v>251</v>
      </c>
      <c r="L291" s="22">
        <v>9</v>
      </c>
      <c r="M291" s="22">
        <v>10</v>
      </c>
      <c r="N291" s="23">
        <v>10</v>
      </c>
    </row>
    <row r="292" spans="1:14" ht="30" x14ac:dyDescent="0.25">
      <c r="A292" s="75"/>
      <c r="B292" s="78"/>
      <c r="C292" s="78"/>
      <c r="D292" s="20"/>
      <c r="E292" s="20"/>
      <c r="F292" s="21">
        <v>0</v>
      </c>
      <c r="G292" s="21">
        <v>0</v>
      </c>
      <c r="H292" s="21">
        <v>0</v>
      </c>
      <c r="I292" s="21">
        <v>0</v>
      </c>
      <c r="J292" s="20" t="s">
        <v>502</v>
      </c>
      <c r="K292" s="22" t="s">
        <v>251</v>
      </c>
      <c r="L292" s="22">
        <v>10</v>
      </c>
      <c r="M292" s="22">
        <v>10</v>
      </c>
      <c r="N292" s="23">
        <v>10</v>
      </c>
    </row>
    <row r="293" spans="1:14" ht="22.5" customHeight="1" x14ac:dyDescent="0.25">
      <c r="A293" s="75"/>
      <c r="B293" s="78"/>
      <c r="C293" s="78"/>
      <c r="D293" s="20"/>
      <c r="E293" s="20"/>
      <c r="F293" s="21">
        <v>0</v>
      </c>
      <c r="G293" s="21">
        <v>0</v>
      </c>
      <c r="H293" s="21">
        <v>0</v>
      </c>
      <c r="I293" s="21">
        <v>0</v>
      </c>
      <c r="J293" s="20" t="s">
        <v>503</v>
      </c>
      <c r="K293" s="22" t="s">
        <v>251</v>
      </c>
      <c r="L293" s="22">
        <v>7</v>
      </c>
      <c r="M293" s="22">
        <v>7</v>
      </c>
      <c r="N293" s="23">
        <v>7</v>
      </c>
    </row>
    <row r="294" spans="1:14" ht="15.75" thickBot="1" x14ac:dyDescent="0.3">
      <c r="A294" s="76"/>
      <c r="B294" s="79"/>
      <c r="C294" s="79"/>
      <c r="D294" s="20"/>
      <c r="E294" s="20"/>
      <c r="F294" s="21">
        <v>0</v>
      </c>
      <c r="G294" s="21">
        <v>0</v>
      </c>
      <c r="H294" s="21">
        <v>0</v>
      </c>
      <c r="I294" s="21">
        <v>0</v>
      </c>
      <c r="J294" s="20" t="s">
        <v>504</v>
      </c>
      <c r="K294" s="22" t="s">
        <v>251</v>
      </c>
      <c r="L294" s="22">
        <v>90</v>
      </c>
      <c r="M294" s="22">
        <v>93</v>
      </c>
      <c r="N294" s="23">
        <v>93</v>
      </c>
    </row>
    <row r="295" spans="1:14" ht="30" x14ac:dyDescent="0.25">
      <c r="A295" s="74" t="s">
        <v>505</v>
      </c>
      <c r="B295" s="77" t="s">
        <v>506</v>
      </c>
      <c r="C295" s="77" t="s">
        <v>507</v>
      </c>
      <c r="D295" s="16" t="s">
        <v>34</v>
      </c>
      <c r="E295" s="16" t="s">
        <v>142</v>
      </c>
      <c r="F295" s="17">
        <f>SUM(F296:F296)+832.4</f>
        <v>832.4</v>
      </c>
      <c r="G295" s="17">
        <f>SUM(G296:G296)+832.4</f>
        <v>832.4</v>
      </c>
      <c r="H295" s="17">
        <f>SUM(H296:H296)+915.6</f>
        <v>915.6</v>
      </c>
      <c r="I295" s="17">
        <f>SUM(I296:I296)+1007.2</f>
        <v>1007.2</v>
      </c>
      <c r="J295" s="16" t="s">
        <v>508</v>
      </c>
      <c r="K295" s="18" t="s">
        <v>251</v>
      </c>
      <c r="L295" s="18">
        <v>8</v>
      </c>
      <c r="M295" s="18">
        <v>8</v>
      </c>
      <c r="N295" s="19">
        <v>9</v>
      </c>
    </row>
    <row r="296" spans="1:14" ht="15.75" thickBot="1" x14ac:dyDescent="0.3">
      <c r="A296" s="76"/>
      <c r="B296" s="79"/>
      <c r="C296" s="79"/>
      <c r="D296" s="20"/>
      <c r="E296" s="20"/>
      <c r="F296" s="21">
        <v>0</v>
      </c>
      <c r="G296" s="21">
        <v>0</v>
      </c>
      <c r="H296" s="21">
        <v>0</v>
      </c>
      <c r="I296" s="21">
        <v>0</v>
      </c>
      <c r="J296" s="20" t="s">
        <v>509</v>
      </c>
      <c r="K296" s="22" t="s">
        <v>251</v>
      </c>
      <c r="L296" s="31">
        <v>2750</v>
      </c>
      <c r="M296" s="31">
        <v>2800</v>
      </c>
      <c r="N296" s="32">
        <v>3500</v>
      </c>
    </row>
    <row r="297" spans="1:14" ht="27.75" customHeight="1" x14ac:dyDescent="0.25">
      <c r="A297" s="74" t="s">
        <v>510</v>
      </c>
      <c r="B297" s="77" t="s">
        <v>511</v>
      </c>
      <c r="C297" s="77" t="s">
        <v>481</v>
      </c>
      <c r="D297" s="16"/>
      <c r="E297" s="16"/>
      <c r="F297" s="17">
        <f>SUM(F298:F299)</f>
        <v>53</v>
      </c>
      <c r="G297" s="17">
        <f>SUM(G298:G299)</f>
        <v>68.2</v>
      </c>
      <c r="H297" s="17">
        <f>SUM(H298:H299)</f>
        <v>53</v>
      </c>
      <c r="I297" s="17">
        <f>SUM(I298:I299)</f>
        <v>53</v>
      </c>
      <c r="J297" s="16" t="s">
        <v>512</v>
      </c>
      <c r="K297" s="18" t="s">
        <v>251</v>
      </c>
      <c r="L297" s="18">
        <v>23</v>
      </c>
      <c r="M297" s="18">
        <v>25</v>
      </c>
      <c r="N297" s="19">
        <v>26</v>
      </c>
    </row>
    <row r="298" spans="1:14" x14ac:dyDescent="0.25">
      <c r="A298" s="75"/>
      <c r="B298" s="78"/>
      <c r="C298" s="78"/>
      <c r="D298" s="20" t="s">
        <v>34</v>
      </c>
      <c r="E298" s="20"/>
      <c r="F298" s="21">
        <v>53</v>
      </c>
      <c r="G298" s="21">
        <v>53</v>
      </c>
      <c r="H298" s="21">
        <v>53</v>
      </c>
      <c r="I298" s="21">
        <v>53</v>
      </c>
      <c r="J298" s="20" t="s">
        <v>513</v>
      </c>
      <c r="K298" s="22" t="s">
        <v>251</v>
      </c>
      <c r="L298" s="22">
        <v>10</v>
      </c>
      <c r="M298" s="22">
        <v>10</v>
      </c>
      <c r="N298" s="23">
        <v>10</v>
      </c>
    </row>
    <row r="299" spans="1:14" ht="30.75" thickBot="1" x14ac:dyDescent="0.3">
      <c r="A299" s="76"/>
      <c r="B299" s="79"/>
      <c r="C299" s="79"/>
      <c r="D299" s="20" t="s">
        <v>32</v>
      </c>
      <c r="E299" s="20"/>
      <c r="F299" s="21">
        <v>0</v>
      </c>
      <c r="G299" s="21">
        <v>15.2</v>
      </c>
      <c r="H299" s="21">
        <v>0</v>
      </c>
      <c r="I299" s="21">
        <v>0</v>
      </c>
      <c r="J299" s="20" t="s">
        <v>514</v>
      </c>
      <c r="K299" s="22" t="s">
        <v>251</v>
      </c>
      <c r="L299" s="22">
        <v>13</v>
      </c>
      <c r="M299" s="22">
        <v>14</v>
      </c>
      <c r="N299" s="23">
        <v>14</v>
      </c>
    </row>
    <row r="300" spans="1:14" ht="30" x14ac:dyDescent="0.25">
      <c r="A300" s="74" t="s">
        <v>515</v>
      </c>
      <c r="B300" s="77" t="s">
        <v>516</v>
      </c>
      <c r="C300" s="77" t="s">
        <v>517</v>
      </c>
      <c r="D300" s="16"/>
      <c r="E300" s="16"/>
      <c r="F300" s="17">
        <f>SUM(F301:F303)</f>
        <v>2592.4</v>
      </c>
      <c r="G300" s="17">
        <f>SUM(G301:G303)</f>
        <v>2608.4</v>
      </c>
      <c r="H300" s="17">
        <f>SUM(H301:H303)</f>
        <v>2492.4</v>
      </c>
      <c r="I300" s="17">
        <f>SUM(I301:I303)</f>
        <v>2492.4</v>
      </c>
      <c r="J300" s="16" t="s">
        <v>518</v>
      </c>
      <c r="K300" s="18" t="s">
        <v>251</v>
      </c>
      <c r="L300" s="18">
        <v>3</v>
      </c>
      <c r="M300" s="18">
        <v>3</v>
      </c>
      <c r="N300" s="19">
        <v>3</v>
      </c>
    </row>
    <row r="301" spans="1:14" ht="30" x14ac:dyDescent="0.25">
      <c r="A301" s="75"/>
      <c r="B301" s="78"/>
      <c r="C301" s="78"/>
      <c r="D301" s="20" t="s">
        <v>34</v>
      </c>
      <c r="E301" s="20"/>
      <c r="F301" s="21">
        <v>0</v>
      </c>
      <c r="G301" s="21">
        <v>0</v>
      </c>
      <c r="H301" s="21">
        <v>2492.4</v>
      </c>
      <c r="I301" s="21">
        <v>2492.4</v>
      </c>
      <c r="J301" s="20" t="s">
        <v>519</v>
      </c>
      <c r="K301" s="22" t="s">
        <v>251</v>
      </c>
      <c r="L301" s="22">
        <v>660</v>
      </c>
      <c r="M301" s="22">
        <v>660</v>
      </c>
      <c r="N301" s="23">
        <v>670</v>
      </c>
    </row>
    <row r="302" spans="1:14" ht="30" x14ac:dyDescent="0.25">
      <c r="A302" s="75"/>
      <c r="B302" s="78"/>
      <c r="C302" s="78"/>
      <c r="D302" s="20" t="s">
        <v>32</v>
      </c>
      <c r="E302" s="20"/>
      <c r="F302" s="21">
        <v>2592.4</v>
      </c>
      <c r="G302" s="21">
        <v>2608.4</v>
      </c>
      <c r="H302" s="21">
        <v>0</v>
      </c>
      <c r="I302" s="21">
        <v>0</v>
      </c>
      <c r="J302" s="20" t="s">
        <v>520</v>
      </c>
      <c r="K302" s="22" t="s">
        <v>251</v>
      </c>
      <c r="L302" s="22">
        <v>1</v>
      </c>
      <c r="M302" s="22">
        <v>1</v>
      </c>
      <c r="N302" s="23">
        <v>1</v>
      </c>
    </row>
    <row r="303" spans="1:14" ht="30.75" thickBot="1" x14ac:dyDescent="0.3">
      <c r="A303" s="76"/>
      <c r="B303" s="79"/>
      <c r="C303" s="79"/>
      <c r="D303" s="20"/>
      <c r="E303" s="20"/>
      <c r="F303" s="21">
        <v>0</v>
      </c>
      <c r="G303" s="21">
        <v>0</v>
      </c>
      <c r="H303" s="21">
        <v>0</v>
      </c>
      <c r="I303" s="21">
        <v>0</v>
      </c>
      <c r="J303" s="20" t="s">
        <v>521</v>
      </c>
      <c r="K303" s="22" t="s">
        <v>251</v>
      </c>
      <c r="L303" s="22">
        <v>560</v>
      </c>
      <c r="M303" s="22">
        <v>560</v>
      </c>
      <c r="N303" s="23">
        <v>570</v>
      </c>
    </row>
    <row r="304" spans="1:14" x14ac:dyDescent="0.25">
      <c r="A304" s="74" t="s">
        <v>522</v>
      </c>
      <c r="B304" s="77" t="s">
        <v>523</v>
      </c>
      <c r="C304" s="77" t="s">
        <v>481</v>
      </c>
      <c r="D304" s="16"/>
      <c r="E304" s="16"/>
      <c r="F304" s="17">
        <f>SUM(F305:F309)</f>
        <v>6063.8</v>
      </c>
      <c r="G304" s="17">
        <f>SUM(G305:G309)</f>
        <v>6066.4000000000005</v>
      </c>
      <c r="H304" s="17">
        <f>SUM(H305:H309)</f>
        <v>6240.9000000000005</v>
      </c>
      <c r="I304" s="17">
        <f>SUM(I305:I309)</f>
        <v>6800.2999999999993</v>
      </c>
      <c r="J304" s="16" t="s">
        <v>524</v>
      </c>
      <c r="K304" s="18" t="s">
        <v>251</v>
      </c>
      <c r="L304" s="36">
        <v>2950</v>
      </c>
      <c r="M304" s="36">
        <v>2975</v>
      </c>
      <c r="N304" s="37">
        <v>3000</v>
      </c>
    </row>
    <row r="305" spans="1:14" ht="30" x14ac:dyDescent="0.25">
      <c r="A305" s="75"/>
      <c r="B305" s="78"/>
      <c r="C305" s="78"/>
      <c r="D305" s="20" t="s">
        <v>125</v>
      </c>
      <c r="E305" s="20"/>
      <c r="F305" s="21">
        <v>547</v>
      </c>
      <c r="G305" s="21">
        <v>547</v>
      </c>
      <c r="H305" s="21">
        <v>550</v>
      </c>
      <c r="I305" s="21">
        <v>553</v>
      </c>
      <c r="J305" s="20" t="s">
        <v>495</v>
      </c>
      <c r="K305" s="22" t="s">
        <v>251</v>
      </c>
      <c r="L305" s="22">
        <v>49</v>
      </c>
      <c r="M305" s="22">
        <v>51</v>
      </c>
      <c r="N305" s="23">
        <v>53</v>
      </c>
    </row>
    <row r="306" spans="1:14" ht="30" x14ac:dyDescent="0.25">
      <c r="A306" s="75"/>
      <c r="B306" s="78"/>
      <c r="C306" s="78"/>
      <c r="D306" s="20" t="s">
        <v>34</v>
      </c>
      <c r="E306" s="20"/>
      <c r="F306" s="21">
        <v>5291.1</v>
      </c>
      <c r="G306" s="21">
        <v>5291.1</v>
      </c>
      <c r="H306" s="21">
        <v>5538.1</v>
      </c>
      <c r="I306" s="21">
        <v>6091.9</v>
      </c>
      <c r="J306" s="20" t="s">
        <v>496</v>
      </c>
      <c r="K306" s="22" t="s">
        <v>251</v>
      </c>
      <c r="L306" s="22">
        <v>165</v>
      </c>
      <c r="M306" s="22">
        <v>167</v>
      </c>
      <c r="N306" s="23">
        <v>169</v>
      </c>
    </row>
    <row r="307" spans="1:14" x14ac:dyDescent="0.25">
      <c r="A307" s="75"/>
      <c r="B307" s="78"/>
      <c r="C307" s="78"/>
      <c r="D307" s="20" t="s">
        <v>118</v>
      </c>
      <c r="E307" s="20"/>
      <c r="F307" s="21">
        <v>119.7</v>
      </c>
      <c r="G307" s="21">
        <v>121.7</v>
      </c>
      <c r="H307" s="21">
        <v>110.8</v>
      </c>
      <c r="I307" s="21">
        <v>113.4</v>
      </c>
      <c r="J307" s="20"/>
      <c r="K307" s="22"/>
      <c r="L307" s="22"/>
      <c r="M307" s="22"/>
      <c r="N307" s="23"/>
    </row>
    <row r="308" spans="1:14" x14ac:dyDescent="0.25">
      <c r="A308" s="75"/>
      <c r="B308" s="78"/>
      <c r="C308" s="78"/>
      <c r="D308" s="20" t="s">
        <v>32</v>
      </c>
      <c r="E308" s="20"/>
      <c r="F308" s="21">
        <v>65</v>
      </c>
      <c r="G308" s="21">
        <v>65</v>
      </c>
      <c r="H308" s="21"/>
      <c r="I308" s="21"/>
      <c r="J308" s="20"/>
      <c r="K308" s="22"/>
      <c r="L308" s="22"/>
      <c r="M308" s="22"/>
      <c r="N308" s="23"/>
    </row>
    <row r="309" spans="1:14" ht="15.75" thickBot="1" x14ac:dyDescent="0.3">
      <c r="A309" s="76"/>
      <c r="B309" s="79"/>
      <c r="C309" s="79"/>
      <c r="D309" s="20" t="s">
        <v>121</v>
      </c>
      <c r="E309" s="20"/>
      <c r="F309" s="21">
        <v>41</v>
      </c>
      <c r="G309" s="21">
        <v>41.6</v>
      </c>
      <c r="H309" s="21">
        <v>42</v>
      </c>
      <c r="I309" s="21">
        <v>42</v>
      </c>
      <c r="J309" s="20"/>
      <c r="K309" s="22"/>
      <c r="L309" s="22"/>
      <c r="M309" s="22"/>
      <c r="N309" s="23"/>
    </row>
    <row r="310" spans="1:14" ht="60.75" thickBot="1" x14ac:dyDescent="0.3">
      <c r="A310" s="24" t="s">
        <v>525</v>
      </c>
      <c r="B310" s="25" t="s">
        <v>526</v>
      </c>
      <c r="C310" s="16" t="s">
        <v>481</v>
      </c>
      <c r="D310" s="16" t="s">
        <v>34</v>
      </c>
      <c r="E310" s="16"/>
      <c r="F310" s="26">
        <v>26</v>
      </c>
      <c r="G310" s="26">
        <v>26</v>
      </c>
      <c r="H310" s="26">
        <v>26</v>
      </c>
      <c r="I310" s="26">
        <v>33</v>
      </c>
      <c r="J310" s="16" t="s">
        <v>527</v>
      </c>
      <c r="K310" s="18" t="s">
        <v>251</v>
      </c>
      <c r="L310" s="18">
        <v>270</v>
      </c>
      <c r="M310" s="18">
        <v>270</v>
      </c>
      <c r="N310" s="19">
        <v>270</v>
      </c>
    </row>
    <row r="311" spans="1:14" ht="27" customHeight="1" thickBot="1" x14ac:dyDescent="0.3">
      <c r="A311" s="14" t="s">
        <v>528</v>
      </c>
      <c r="B311" s="89" t="s">
        <v>529</v>
      </c>
      <c r="C311" s="90"/>
      <c r="D311" s="90"/>
      <c r="E311" s="91"/>
      <c r="F311" s="15">
        <f>F312+F316+F318+F320+F325+F326+F328</f>
        <v>7984.0999999999995</v>
      </c>
      <c r="G311" s="15">
        <f>G312+G316+G318+G320+G325+G326+G328</f>
        <v>7984.0999999999995</v>
      </c>
      <c r="H311" s="15">
        <f>H312+H316+H318+H320+H325+H326+H328</f>
        <v>8567</v>
      </c>
      <c r="I311" s="15">
        <f>I312+I316+I318+I320+I325+I326+I328</f>
        <v>12367</v>
      </c>
      <c r="J311" s="71"/>
      <c r="K311" s="72"/>
      <c r="L311" s="72"/>
      <c r="M311" s="72"/>
      <c r="N311" s="73"/>
    </row>
    <row r="312" spans="1:14" ht="41.25" customHeight="1" x14ac:dyDescent="0.25">
      <c r="A312" s="74" t="s">
        <v>530</v>
      </c>
      <c r="B312" s="77" t="s">
        <v>531</v>
      </c>
      <c r="C312" s="77" t="s">
        <v>532</v>
      </c>
      <c r="D312" s="16"/>
      <c r="E312" s="16" t="s">
        <v>533</v>
      </c>
      <c r="F312" s="17">
        <f>SUM(F313:F315)</f>
        <v>7205.7</v>
      </c>
      <c r="G312" s="17">
        <f>SUM(G313:G315)</f>
        <v>7205.7</v>
      </c>
      <c r="H312" s="17">
        <f>SUM(H313:H315)</f>
        <v>6320</v>
      </c>
      <c r="I312" s="17">
        <f>SUM(I313:I315)</f>
        <v>10830</v>
      </c>
      <c r="J312" s="16" t="s">
        <v>534</v>
      </c>
      <c r="K312" s="18" t="s">
        <v>20</v>
      </c>
      <c r="L312" s="18">
        <v>30</v>
      </c>
      <c r="M312" s="18">
        <v>80</v>
      </c>
      <c r="N312" s="19">
        <v>100</v>
      </c>
    </row>
    <row r="313" spans="1:14" x14ac:dyDescent="0.25">
      <c r="A313" s="75"/>
      <c r="B313" s="78"/>
      <c r="C313" s="78"/>
      <c r="D313" s="20" t="s">
        <v>34</v>
      </c>
      <c r="E313" s="20"/>
      <c r="F313" s="21">
        <v>559</v>
      </c>
      <c r="G313" s="21">
        <v>559</v>
      </c>
      <c r="H313" s="21">
        <v>5000</v>
      </c>
      <c r="I313" s="21">
        <v>10830</v>
      </c>
      <c r="J313" s="20" t="s">
        <v>535</v>
      </c>
      <c r="K313" s="22" t="s">
        <v>20</v>
      </c>
      <c r="L313" s="22"/>
      <c r="M313" s="22"/>
      <c r="N313" s="23">
        <v>100</v>
      </c>
    </row>
    <row r="314" spans="1:14" x14ac:dyDescent="0.25">
      <c r="A314" s="75"/>
      <c r="B314" s="78"/>
      <c r="C314" s="78"/>
      <c r="D314" s="20" t="s">
        <v>323</v>
      </c>
      <c r="E314" s="20"/>
      <c r="F314" s="21">
        <v>5000</v>
      </c>
      <c r="G314" s="21">
        <v>5000</v>
      </c>
      <c r="H314" s="21">
        <v>1320</v>
      </c>
      <c r="I314" s="21"/>
      <c r="J314" s="20"/>
      <c r="K314" s="22"/>
      <c r="L314" s="22"/>
      <c r="M314" s="22"/>
      <c r="N314" s="23"/>
    </row>
    <row r="315" spans="1:14" ht="15.75" thickBot="1" x14ac:dyDescent="0.3">
      <c r="A315" s="76"/>
      <c r="B315" s="79"/>
      <c r="C315" s="79"/>
      <c r="D315" s="20" t="s">
        <v>536</v>
      </c>
      <c r="E315" s="20"/>
      <c r="F315" s="21">
        <v>1646.7</v>
      </c>
      <c r="G315" s="21">
        <v>1646.7</v>
      </c>
      <c r="H315" s="21"/>
      <c r="I315" s="21"/>
      <c r="J315" s="20"/>
      <c r="K315" s="22"/>
      <c r="L315" s="22"/>
      <c r="M315" s="22"/>
      <c r="N315" s="23"/>
    </row>
    <row r="316" spans="1:14" ht="45" x14ac:dyDescent="0.25">
      <c r="A316" s="74" t="s">
        <v>537</v>
      </c>
      <c r="B316" s="77" t="s">
        <v>538</v>
      </c>
      <c r="C316" s="77" t="s">
        <v>539</v>
      </c>
      <c r="D316" s="16"/>
      <c r="E316" s="16" t="s">
        <v>533</v>
      </c>
      <c r="F316" s="17">
        <f>SUM(F317:F317)</f>
        <v>0</v>
      </c>
      <c r="G316" s="17">
        <f>SUM(G317:G317)</f>
        <v>0</v>
      </c>
      <c r="H316" s="17">
        <f>SUM(H317:H317)</f>
        <v>1337</v>
      </c>
      <c r="I316" s="17">
        <f>SUM(I317:I317)</f>
        <v>1337</v>
      </c>
      <c r="J316" s="16" t="s">
        <v>540</v>
      </c>
      <c r="K316" s="18" t="s">
        <v>20</v>
      </c>
      <c r="L316" s="18"/>
      <c r="M316" s="18">
        <v>50</v>
      </c>
      <c r="N316" s="19">
        <v>100</v>
      </c>
    </row>
    <row r="317" spans="1:14" ht="15.75" thickBot="1" x14ac:dyDescent="0.3">
      <c r="A317" s="76"/>
      <c r="B317" s="79"/>
      <c r="C317" s="79"/>
      <c r="D317" s="20" t="s">
        <v>34</v>
      </c>
      <c r="E317" s="20"/>
      <c r="F317" s="21">
        <v>0</v>
      </c>
      <c r="G317" s="21">
        <v>0</v>
      </c>
      <c r="H317" s="21">
        <v>1337</v>
      </c>
      <c r="I317" s="21">
        <v>1337</v>
      </c>
      <c r="J317" s="20"/>
      <c r="K317" s="22"/>
      <c r="L317" s="22"/>
      <c r="M317" s="22"/>
      <c r="N317" s="23"/>
    </row>
    <row r="318" spans="1:14" ht="42" customHeight="1" x14ac:dyDescent="0.25">
      <c r="A318" s="74" t="s">
        <v>541</v>
      </c>
      <c r="B318" s="77" t="s">
        <v>542</v>
      </c>
      <c r="C318" s="77" t="s">
        <v>543</v>
      </c>
      <c r="D318" s="16" t="s">
        <v>34</v>
      </c>
      <c r="E318" s="16" t="s">
        <v>533</v>
      </c>
      <c r="F318" s="17">
        <f>SUM(F319:F319)</f>
        <v>0</v>
      </c>
      <c r="G318" s="17">
        <f>SUM(G319:G319)</f>
        <v>0</v>
      </c>
      <c r="H318" s="17">
        <f>SUM(H319:H319)+30</f>
        <v>30</v>
      </c>
      <c r="I318" s="17">
        <f>SUM(I319:I319)+200</f>
        <v>200</v>
      </c>
      <c r="J318" s="16" t="s">
        <v>544</v>
      </c>
      <c r="K318" s="18" t="s">
        <v>25</v>
      </c>
      <c r="L318" s="18"/>
      <c r="M318" s="18">
        <v>1</v>
      </c>
      <c r="N318" s="19"/>
    </row>
    <row r="319" spans="1:14" ht="15.75" thickBot="1" x14ac:dyDescent="0.3">
      <c r="A319" s="76"/>
      <c r="B319" s="79"/>
      <c r="C319" s="79"/>
      <c r="D319" s="20"/>
      <c r="E319" s="20"/>
      <c r="F319" s="21">
        <v>0</v>
      </c>
      <c r="G319" s="21">
        <v>0</v>
      </c>
      <c r="H319" s="21">
        <v>0</v>
      </c>
      <c r="I319" s="21">
        <v>0</v>
      </c>
      <c r="J319" s="20" t="s">
        <v>534</v>
      </c>
      <c r="K319" s="22" t="s">
        <v>20</v>
      </c>
      <c r="L319" s="22"/>
      <c r="M319" s="22"/>
      <c r="N319" s="23">
        <v>40</v>
      </c>
    </row>
    <row r="320" spans="1:14" x14ac:dyDescent="0.25">
      <c r="A320" s="74" t="s">
        <v>545</v>
      </c>
      <c r="B320" s="77" t="s">
        <v>546</v>
      </c>
      <c r="C320" s="77" t="s">
        <v>481</v>
      </c>
      <c r="D320" s="16"/>
      <c r="E320" s="16"/>
      <c r="F320" s="17">
        <f>SUM(F321:F324)</f>
        <v>304.2</v>
      </c>
      <c r="G320" s="17">
        <f>SUM(G321:G324)</f>
        <v>304.2</v>
      </c>
      <c r="H320" s="17">
        <f>SUM(H321:H324)</f>
        <v>180</v>
      </c>
      <c r="I320" s="17">
        <f>SUM(I321:I324)</f>
        <v>0</v>
      </c>
      <c r="J320" s="16" t="s">
        <v>547</v>
      </c>
      <c r="K320" s="18" t="s">
        <v>20</v>
      </c>
      <c r="L320" s="18">
        <v>100</v>
      </c>
      <c r="M320" s="18"/>
      <c r="N320" s="19"/>
    </row>
    <row r="321" spans="1:14" x14ac:dyDescent="0.25">
      <c r="A321" s="75"/>
      <c r="B321" s="78"/>
      <c r="C321" s="78"/>
      <c r="D321" s="20" t="s">
        <v>34</v>
      </c>
      <c r="E321" s="20"/>
      <c r="F321" s="21">
        <v>300</v>
      </c>
      <c r="G321" s="21">
        <v>300</v>
      </c>
      <c r="H321" s="21">
        <v>180</v>
      </c>
      <c r="I321" s="21">
        <v>0</v>
      </c>
      <c r="J321" s="20" t="s">
        <v>548</v>
      </c>
      <c r="K321" s="22" t="s">
        <v>20</v>
      </c>
      <c r="L321" s="22">
        <v>100</v>
      </c>
      <c r="M321" s="22"/>
      <c r="N321" s="23"/>
    </row>
    <row r="322" spans="1:14" x14ac:dyDescent="0.25">
      <c r="A322" s="75"/>
      <c r="B322" s="78"/>
      <c r="C322" s="78"/>
      <c r="D322" s="20" t="s">
        <v>32</v>
      </c>
      <c r="E322" s="20"/>
      <c r="F322" s="21">
        <v>4.2</v>
      </c>
      <c r="G322" s="21">
        <v>4.2</v>
      </c>
      <c r="H322" s="21">
        <v>0</v>
      </c>
      <c r="I322" s="21">
        <v>0</v>
      </c>
      <c r="J322" s="20" t="s">
        <v>549</v>
      </c>
      <c r="K322" s="22" t="s">
        <v>20</v>
      </c>
      <c r="L322" s="22">
        <v>100</v>
      </c>
      <c r="M322" s="22"/>
      <c r="N322" s="23"/>
    </row>
    <row r="323" spans="1:14" ht="30" x14ac:dyDescent="0.25">
      <c r="A323" s="75"/>
      <c r="B323" s="78"/>
      <c r="C323" s="78"/>
      <c r="D323" s="20"/>
      <c r="E323" s="20"/>
      <c r="F323" s="21">
        <v>0</v>
      </c>
      <c r="G323" s="21">
        <v>0</v>
      </c>
      <c r="H323" s="21">
        <v>0</v>
      </c>
      <c r="I323" s="21">
        <v>0</v>
      </c>
      <c r="J323" s="20" t="s">
        <v>550</v>
      </c>
      <c r="K323" s="22" t="s">
        <v>20</v>
      </c>
      <c r="L323" s="22"/>
      <c r="M323" s="22">
        <v>100</v>
      </c>
      <c r="N323" s="23"/>
    </row>
    <row r="324" spans="1:14" ht="30.75" thickBot="1" x14ac:dyDescent="0.3">
      <c r="A324" s="76"/>
      <c r="B324" s="79"/>
      <c r="C324" s="79"/>
      <c r="D324" s="20"/>
      <c r="E324" s="20"/>
      <c r="F324" s="21">
        <v>0</v>
      </c>
      <c r="G324" s="21">
        <v>0</v>
      </c>
      <c r="H324" s="21">
        <v>0</v>
      </c>
      <c r="I324" s="21">
        <v>0</v>
      </c>
      <c r="J324" s="20" t="s">
        <v>551</v>
      </c>
      <c r="K324" s="22" t="s">
        <v>25</v>
      </c>
      <c r="L324" s="22"/>
      <c r="M324" s="22">
        <v>1</v>
      </c>
      <c r="N324" s="23"/>
    </row>
    <row r="325" spans="1:14" ht="30.75" thickBot="1" x14ac:dyDescent="0.3">
      <c r="A325" s="24" t="s">
        <v>552</v>
      </c>
      <c r="B325" s="25" t="s">
        <v>553</v>
      </c>
      <c r="C325" s="16" t="s">
        <v>539</v>
      </c>
      <c r="D325" s="16" t="s">
        <v>32</v>
      </c>
      <c r="E325" s="16"/>
      <c r="F325" s="26">
        <v>72.5</v>
      </c>
      <c r="G325" s="26">
        <v>72.5</v>
      </c>
      <c r="H325" s="26">
        <v>0</v>
      </c>
      <c r="I325" s="26">
        <v>0</v>
      </c>
      <c r="J325" s="16" t="s">
        <v>550</v>
      </c>
      <c r="K325" s="18" t="s">
        <v>20</v>
      </c>
      <c r="L325" s="18">
        <v>100</v>
      </c>
      <c r="M325" s="18"/>
      <c r="N325" s="19"/>
    </row>
    <row r="326" spans="1:14" ht="28.5" customHeight="1" x14ac:dyDescent="0.25">
      <c r="A326" s="74" t="s">
        <v>554</v>
      </c>
      <c r="B326" s="77" t="s">
        <v>555</v>
      </c>
      <c r="C326" s="77" t="s">
        <v>556</v>
      </c>
      <c r="D326" s="16" t="s">
        <v>34</v>
      </c>
      <c r="E326" s="16"/>
      <c r="F326" s="17">
        <f>SUM(F327:F327)+50</f>
        <v>50</v>
      </c>
      <c r="G326" s="17">
        <f>SUM(G327:G327)+50</f>
        <v>50</v>
      </c>
      <c r="H326" s="17">
        <f>SUM(H327:H327)+700</f>
        <v>700</v>
      </c>
      <c r="I326" s="17">
        <f>SUM(I327:I327)</f>
        <v>0</v>
      </c>
      <c r="J326" s="16" t="s">
        <v>544</v>
      </c>
      <c r="K326" s="18" t="s">
        <v>25</v>
      </c>
      <c r="L326" s="18">
        <v>1</v>
      </c>
      <c r="M326" s="18"/>
      <c r="N326" s="19"/>
    </row>
    <row r="327" spans="1:14" ht="15.75" thickBot="1" x14ac:dyDescent="0.3">
      <c r="A327" s="76"/>
      <c r="B327" s="79"/>
      <c r="C327" s="79"/>
      <c r="D327" s="20"/>
      <c r="E327" s="20"/>
      <c r="F327" s="21">
        <v>0</v>
      </c>
      <c r="G327" s="21">
        <v>0</v>
      </c>
      <c r="H327" s="21">
        <v>0</v>
      </c>
      <c r="I327" s="21">
        <v>0</v>
      </c>
      <c r="J327" s="20" t="s">
        <v>534</v>
      </c>
      <c r="K327" s="22" t="s">
        <v>20</v>
      </c>
      <c r="L327" s="22"/>
      <c r="M327" s="22">
        <v>100</v>
      </c>
      <c r="N327" s="23"/>
    </row>
    <row r="328" spans="1:14" x14ac:dyDescent="0.25">
      <c r="A328" s="74" t="s">
        <v>557</v>
      </c>
      <c r="B328" s="77" t="s">
        <v>558</v>
      </c>
      <c r="C328" s="77" t="s">
        <v>559</v>
      </c>
      <c r="D328" s="16"/>
      <c r="E328" s="16"/>
      <c r="F328" s="17">
        <f>SUM(F329:F331)</f>
        <v>351.70000000000005</v>
      </c>
      <c r="G328" s="17">
        <f>SUM(G329:G331)</f>
        <v>351.70000000000005</v>
      </c>
      <c r="H328" s="17">
        <f>SUM(H329:H331)</f>
        <v>0</v>
      </c>
      <c r="I328" s="17">
        <f>SUM(I329:I331)</f>
        <v>0</v>
      </c>
      <c r="J328" s="16" t="s">
        <v>534</v>
      </c>
      <c r="K328" s="18" t="s">
        <v>20</v>
      </c>
      <c r="L328" s="18">
        <v>100</v>
      </c>
      <c r="M328" s="18"/>
      <c r="N328" s="19"/>
    </row>
    <row r="329" spans="1:14" x14ac:dyDescent="0.25">
      <c r="A329" s="75"/>
      <c r="B329" s="78"/>
      <c r="C329" s="78"/>
      <c r="D329" s="20" t="s">
        <v>34</v>
      </c>
      <c r="E329" s="20"/>
      <c r="F329" s="21">
        <v>213.9</v>
      </c>
      <c r="G329" s="21">
        <v>213.9</v>
      </c>
      <c r="H329" s="21">
        <v>0</v>
      </c>
      <c r="I329" s="21">
        <v>0</v>
      </c>
      <c r="J329" s="20"/>
      <c r="K329" s="22"/>
      <c r="L329" s="22"/>
      <c r="M329" s="22"/>
      <c r="N329" s="23"/>
    </row>
    <row r="330" spans="1:14" x14ac:dyDescent="0.25">
      <c r="A330" s="75"/>
      <c r="B330" s="78"/>
      <c r="C330" s="78"/>
      <c r="D330" s="20" t="s">
        <v>32</v>
      </c>
      <c r="E330" s="20"/>
      <c r="F330" s="21">
        <v>60.7</v>
      </c>
      <c r="G330" s="21">
        <v>60.7</v>
      </c>
      <c r="H330" s="21">
        <v>0</v>
      </c>
      <c r="I330" s="21">
        <v>0</v>
      </c>
      <c r="J330" s="20"/>
      <c r="K330" s="22"/>
      <c r="L330" s="22"/>
      <c r="M330" s="22"/>
      <c r="N330" s="23"/>
    </row>
    <row r="331" spans="1:14" ht="15.75" thickBot="1" x14ac:dyDescent="0.3">
      <c r="A331" s="76"/>
      <c r="B331" s="79"/>
      <c r="C331" s="79"/>
      <c r="D331" s="20" t="s">
        <v>121</v>
      </c>
      <c r="E331" s="20"/>
      <c r="F331" s="21">
        <v>77.099999999999994</v>
      </c>
      <c r="G331" s="21">
        <v>77.099999999999994</v>
      </c>
      <c r="H331" s="21">
        <v>0</v>
      </c>
      <c r="I331" s="21">
        <v>0</v>
      </c>
      <c r="J331" s="20"/>
      <c r="K331" s="22"/>
      <c r="L331" s="22"/>
      <c r="M331" s="22"/>
      <c r="N331" s="23"/>
    </row>
    <row r="332" spans="1:14" ht="26.25" customHeight="1" thickBot="1" x14ac:dyDescent="0.3">
      <c r="A332" s="14" t="s">
        <v>560</v>
      </c>
      <c r="B332" s="89" t="s">
        <v>561</v>
      </c>
      <c r="C332" s="90"/>
      <c r="D332" s="90"/>
      <c r="E332" s="91"/>
      <c r="F332" s="15">
        <f>F333+F335</f>
        <v>128.4</v>
      </c>
      <c r="G332" s="15">
        <f>G333+G335</f>
        <v>128.4</v>
      </c>
      <c r="H332" s="15">
        <f>H333+H335</f>
        <v>134.4</v>
      </c>
      <c r="I332" s="15">
        <f>I333+I335</f>
        <v>152.6</v>
      </c>
      <c r="J332" s="71"/>
      <c r="K332" s="72"/>
      <c r="L332" s="72"/>
      <c r="M332" s="72"/>
      <c r="N332" s="73"/>
    </row>
    <row r="333" spans="1:14" ht="45" x14ac:dyDescent="0.25">
      <c r="A333" s="74" t="s">
        <v>562</v>
      </c>
      <c r="B333" s="77" t="s">
        <v>563</v>
      </c>
      <c r="C333" s="77" t="s">
        <v>481</v>
      </c>
      <c r="D333" s="16" t="s">
        <v>34</v>
      </c>
      <c r="E333" s="16"/>
      <c r="F333" s="17">
        <f>SUM(F334:F334)+60</f>
        <v>60</v>
      </c>
      <c r="G333" s="17">
        <f>SUM(G334:G334)+60</f>
        <v>60</v>
      </c>
      <c r="H333" s="17">
        <f>SUM(H334:H334)+66</f>
        <v>66</v>
      </c>
      <c r="I333" s="17">
        <f>SUM(I334:I334)+72.6</f>
        <v>72.599999999999994</v>
      </c>
      <c r="J333" s="16" t="s">
        <v>564</v>
      </c>
      <c r="K333" s="18" t="s">
        <v>20</v>
      </c>
      <c r="L333" s="18">
        <v>11</v>
      </c>
      <c r="M333" s="18">
        <v>11</v>
      </c>
      <c r="N333" s="19">
        <v>12</v>
      </c>
    </row>
    <row r="334" spans="1:14" ht="15.75" thickBot="1" x14ac:dyDescent="0.3">
      <c r="A334" s="76"/>
      <c r="B334" s="79"/>
      <c r="C334" s="79"/>
      <c r="D334" s="20"/>
      <c r="E334" s="20"/>
      <c r="F334" s="21">
        <v>0</v>
      </c>
      <c r="G334" s="21">
        <v>0</v>
      </c>
      <c r="H334" s="21">
        <v>0</v>
      </c>
      <c r="I334" s="21">
        <v>0</v>
      </c>
      <c r="J334" s="20" t="s">
        <v>565</v>
      </c>
      <c r="K334" s="22" t="s">
        <v>251</v>
      </c>
      <c r="L334" s="22">
        <v>6</v>
      </c>
      <c r="M334" s="22">
        <v>6</v>
      </c>
      <c r="N334" s="23">
        <v>6</v>
      </c>
    </row>
    <row r="335" spans="1:14" ht="45.75" thickBot="1" x14ac:dyDescent="0.3">
      <c r="A335" s="24" t="s">
        <v>566</v>
      </c>
      <c r="B335" s="25" t="s">
        <v>567</v>
      </c>
      <c r="C335" s="16" t="s">
        <v>568</v>
      </c>
      <c r="D335" s="16" t="s">
        <v>34</v>
      </c>
      <c r="E335" s="16"/>
      <c r="F335" s="26">
        <v>68.400000000000006</v>
      </c>
      <c r="G335" s="26">
        <v>68.400000000000006</v>
      </c>
      <c r="H335" s="26">
        <v>68.400000000000006</v>
      </c>
      <c r="I335" s="26">
        <v>80</v>
      </c>
      <c r="J335" s="16" t="s">
        <v>569</v>
      </c>
      <c r="K335" s="18" t="s">
        <v>20</v>
      </c>
      <c r="L335" s="18">
        <v>18.3</v>
      </c>
      <c r="M335" s="18">
        <v>18.399999999999999</v>
      </c>
      <c r="N335" s="19">
        <v>18.5</v>
      </c>
    </row>
    <row r="336" spans="1:14" ht="30.75" thickBot="1" x14ac:dyDescent="0.3">
      <c r="A336" s="6" t="s">
        <v>570</v>
      </c>
      <c r="B336" s="7" t="s">
        <v>571</v>
      </c>
      <c r="C336" s="80" t="s">
        <v>572</v>
      </c>
      <c r="D336" s="81"/>
      <c r="E336" s="82"/>
      <c r="F336" s="8">
        <f>F337+F416</f>
        <v>132986.20000000001</v>
      </c>
      <c r="G336" s="8">
        <f>G337+G416</f>
        <v>133962.6</v>
      </c>
      <c r="H336" s="8">
        <f>H337+H416</f>
        <v>141538.20000000004</v>
      </c>
      <c r="I336" s="8">
        <f>I337+I416</f>
        <v>136049.00000000003</v>
      </c>
      <c r="J336" s="83"/>
      <c r="K336" s="84"/>
      <c r="L336" s="84"/>
      <c r="M336" s="84"/>
      <c r="N336" s="85"/>
    </row>
    <row r="337" spans="1:14" ht="27.75" customHeight="1" x14ac:dyDescent="0.25">
      <c r="A337" s="92" t="s">
        <v>573</v>
      </c>
      <c r="B337" s="95" t="s">
        <v>574</v>
      </c>
      <c r="C337" s="96"/>
      <c r="D337" s="96"/>
      <c r="E337" s="97"/>
      <c r="F337" s="10">
        <f>F338+F339+F365</f>
        <v>112822.8</v>
      </c>
      <c r="G337" s="10">
        <f>G338+G339+G365</f>
        <v>113217.2</v>
      </c>
      <c r="H337" s="10">
        <f>H338+H339+H365</f>
        <v>112800.80000000003</v>
      </c>
      <c r="I337" s="10">
        <f>I338+I339+I365</f>
        <v>116141.60000000002</v>
      </c>
      <c r="J337" s="11" t="s">
        <v>575</v>
      </c>
      <c r="K337" s="12" t="s">
        <v>20</v>
      </c>
      <c r="L337" s="12">
        <v>100</v>
      </c>
      <c r="M337" s="12">
        <v>100</v>
      </c>
      <c r="N337" s="13">
        <v>100</v>
      </c>
    </row>
    <row r="338" spans="1:14" ht="30.75" thickBot="1" x14ac:dyDescent="0.3">
      <c r="A338" s="94"/>
      <c r="B338" s="101"/>
      <c r="C338" s="102"/>
      <c r="D338" s="102"/>
      <c r="E338" s="103"/>
      <c r="F338" s="27">
        <v>0</v>
      </c>
      <c r="G338" s="27">
        <v>0</v>
      </c>
      <c r="H338" s="27">
        <v>0</v>
      </c>
      <c r="I338" s="27">
        <v>0</v>
      </c>
      <c r="J338" s="28" t="s">
        <v>576</v>
      </c>
      <c r="K338" s="29" t="s">
        <v>251</v>
      </c>
      <c r="L338" s="33">
        <v>13800</v>
      </c>
      <c r="M338" s="33">
        <v>13800</v>
      </c>
      <c r="N338" s="41">
        <v>13800</v>
      </c>
    </row>
    <row r="339" spans="1:14" ht="26.25" customHeight="1" thickBot="1" x14ac:dyDescent="0.3">
      <c r="A339" s="14" t="s">
        <v>577</v>
      </c>
      <c r="B339" s="89" t="s">
        <v>578</v>
      </c>
      <c r="C339" s="90"/>
      <c r="D339" s="90"/>
      <c r="E339" s="91"/>
      <c r="F339" s="15">
        <f>F340+F348+F349+F353+F363+F364</f>
        <v>977.2</v>
      </c>
      <c r="G339" s="15">
        <f>G340+G348+G349+G353+G363+G364</f>
        <v>977.2</v>
      </c>
      <c r="H339" s="15">
        <f>H340+H348+H349+H353+H363+H364</f>
        <v>1017.1</v>
      </c>
      <c r="I339" s="15">
        <f>I340+I348+I349+I353+I363+I364</f>
        <v>1074.6000000000001</v>
      </c>
      <c r="J339" s="71"/>
      <c r="K339" s="72"/>
      <c r="L339" s="72"/>
      <c r="M339" s="72"/>
      <c r="N339" s="73"/>
    </row>
    <row r="340" spans="1:14" x14ac:dyDescent="0.25">
      <c r="A340" s="74" t="s">
        <v>579</v>
      </c>
      <c r="B340" s="77" t="s">
        <v>580</v>
      </c>
      <c r="C340" s="77" t="s">
        <v>572</v>
      </c>
      <c r="D340" s="16" t="s">
        <v>34</v>
      </c>
      <c r="E340" s="16"/>
      <c r="F340" s="17">
        <f>SUM(F341:F347)+217.3</f>
        <v>217.3</v>
      </c>
      <c r="G340" s="17">
        <f>SUM(G341:G347)+217.3</f>
        <v>217.3</v>
      </c>
      <c r="H340" s="17">
        <f>SUM(H341:H347)+217.3</f>
        <v>217.3</v>
      </c>
      <c r="I340" s="17">
        <f>SUM(I341:I347)+217.3</f>
        <v>217.3</v>
      </c>
      <c r="J340" s="16" t="s">
        <v>581</v>
      </c>
      <c r="K340" s="18" t="s">
        <v>251</v>
      </c>
      <c r="L340" s="18">
        <v>4</v>
      </c>
      <c r="M340" s="18">
        <v>4</v>
      </c>
      <c r="N340" s="19">
        <v>4</v>
      </c>
    </row>
    <row r="341" spans="1:14" x14ac:dyDescent="0.25">
      <c r="A341" s="75"/>
      <c r="B341" s="78"/>
      <c r="C341" s="78"/>
      <c r="D341" s="20"/>
      <c r="E341" s="20"/>
      <c r="F341" s="21">
        <v>0</v>
      </c>
      <c r="G341" s="21">
        <v>0</v>
      </c>
      <c r="H341" s="21">
        <v>0</v>
      </c>
      <c r="I341" s="21">
        <v>0</v>
      </c>
      <c r="J341" s="20" t="s">
        <v>582</v>
      </c>
      <c r="K341" s="22" t="s">
        <v>251</v>
      </c>
      <c r="L341" s="22">
        <v>100</v>
      </c>
      <c r="M341" s="22">
        <v>100</v>
      </c>
      <c r="N341" s="23">
        <v>100</v>
      </c>
    </row>
    <row r="342" spans="1:14" x14ac:dyDescent="0.25">
      <c r="A342" s="75"/>
      <c r="B342" s="78"/>
      <c r="C342" s="78"/>
      <c r="D342" s="20"/>
      <c r="E342" s="20"/>
      <c r="F342" s="21">
        <v>0</v>
      </c>
      <c r="G342" s="21">
        <v>0</v>
      </c>
      <c r="H342" s="21">
        <v>0</v>
      </c>
      <c r="I342" s="21">
        <v>0</v>
      </c>
      <c r="J342" s="20" t="s">
        <v>583</v>
      </c>
      <c r="K342" s="22" t="s">
        <v>251</v>
      </c>
      <c r="L342" s="22">
        <v>10</v>
      </c>
      <c r="M342" s="22">
        <v>10</v>
      </c>
      <c r="N342" s="23">
        <v>10</v>
      </c>
    </row>
    <row r="343" spans="1:14" ht="30" x14ac:dyDescent="0.25">
      <c r="A343" s="75"/>
      <c r="B343" s="78"/>
      <c r="C343" s="78"/>
      <c r="D343" s="20"/>
      <c r="E343" s="20"/>
      <c r="F343" s="21">
        <v>0</v>
      </c>
      <c r="G343" s="21">
        <v>0</v>
      </c>
      <c r="H343" s="21">
        <v>0</v>
      </c>
      <c r="I343" s="21">
        <v>0</v>
      </c>
      <c r="J343" s="20" t="s">
        <v>584</v>
      </c>
      <c r="K343" s="22" t="s">
        <v>251</v>
      </c>
      <c r="L343" s="22">
        <v>100</v>
      </c>
      <c r="M343" s="22">
        <v>100</v>
      </c>
      <c r="N343" s="23">
        <v>100</v>
      </c>
    </row>
    <row r="344" spans="1:14" ht="30" x14ac:dyDescent="0.25">
      <c r="A344" s="75"/>
      <c r="B344" s="78"/>
      <c r="C344" s="78"/>
      <c r="D344" s="20"/>
      <c r="E344" s="20"/>
      <c r="F344" s="21">
        <v>0</v>
      </c>
      <c r="G344" s="21">
        <v>0</v>
      </c>
      <c r="H344" s="21">
        <v>0</v>
      </c>
      <c r="I344" s="21">
        <v>0</v>
      </c>
      <c r="J344" s="20" t="s">
        <v>585</v>
      </c>
      <c r="K344" s="22" t="s">
        <v>251</v>
      </c>
      <c r="L344" s="22">
        <v>360</v>
      </c>
      <c r="M344" s="22">
        <v>360</v>
      </c>
      <c r="N344" s="23">
        <v>400</v>
      </c>
    </row>
    <row r="345" spans="1:14" x14ac:dyDescent="0.25">
      <c r="A345" s="75"/>
      <c r="B345" s="78"/>
      <c r="C345" s="78"/>
      <c r="D345" s="20"/>
      <c r="E345" s="20"/>
      <c r="F345" s="21">
        <v>0</v>
      </c>
      <c r="G345" s="21">
        <v>0</v>
      </c>
      <c r="H345" s="21">
        <v>0</v>
      </c>
      <c r="I345" s="21">
        <v>0</v>
      </c>
      <c r="J345" s="20" t="s">
        <v>586</v>
      </c>
      <c r="K345" s="22" t="s">
        <v>251</v>
      </c>
      <c r="L345" s="31">
        <v>1200</v>
      </c>
      <c r="M345" s="31">
        <v>1200</v>
      </c>
      <c r="N345" s="32">
        <v>1200</v>
      </c>
    </row>
    <row r="346" spans="1:14" ht="30" x14ac:dyDescent="0.25">
      <c r="A346" s="75"/>
      <c r="B346" s="78"/>
      <c r="C346" s="78"/>
      <c r="D346" s="20"/>
      <c r="E346" s="20"/>
      <c r="F346" s="21">
        <v>0</v>
      </c>
      <c r="G346" s="21">
        <v>0</v>
      </c>
      <c r="H346" s="21">
        <v>0</v>
      </c>
      <c r="I346" s="21">
        <v>0</v>
      </c>
      <c r="J346" s="20" t="s">
        <v>587</v>
      </c>
      <c r="K346" s="22" t="s">
        <v>251</v>
      </c>
      <c r="L346" s="22">
        <v>1</v>
      </c>
      <c r="M346" s="22">
        <v>1</v>
      </c>
      <c r="N346" s="23">
        <v>1</v>
      </c>
    </row>
    <row r="347" spans="1:14" ht="30.75" thickBot="1" x14ac:dyDescent="0.3">
      <c r="A347" s="76"/>
      <c r="B347" s="79"/>
      <c r="C347" s="79"/>
      <c r="D347" s="20"/>
      <c r="E347" s="20"/>
      <c r="F347" s="21">
        <v>0</v>
      </c>
      <c r="G347" s="21">
        <v>0</v>
      </c>
      <c r="H347" s="21">
        <v>0</v>
      </c>
      <c r="I347" s="21">
        <v>0</v>
      </c>
      <c r="J347" s="20" t="s">
        <v>588</v>
      </c>
      <c r="K347" s="22" t="s">
        <v>251</v>
      </c>
      <c r="L347" s="31">
        <v>2000</v>
      </c>
      <c r="M347" s="31">
        <v>2000</v>
      </c>
      <c r="N347" s="32">
        <v>2000</v>
      </c>
    </row>
    <row r="348" spans="1:14" ht="45.75" thickBot="1" x14ac:dyDescent="0.3">
      <c r="A348" s="24" t="s">
        <v>589</v>
      </c>
      <c r="B348" s="25" t="s">
        <v>590</v>
      </c>
      <c r="C348" s="16" t="s">
        <v>572</v>
      </c>
      <c r="D348" s="16" t="s">
        <v>34</v>
      </c>
      <c r="E348" s="16"/>
      <c r="F348" s="26">
        <v>192.8</v>
      </c>
      <c r="G348" s="26">
        <v>192.8</v>
      </c>
      <c r="H348" s="26">
        <v>192.8</v>
      </c>
      <c r="I348" s="26">
        <v>200</v>
      </c>
      <c r="J348" s="16" t="s">
        <v>591</v>
      </c>
      <c r="K348" s="18" t="s">
        <v>25</v>
      </c>
      <c r="L348" s="18">
        <v>30</v>
      </c>
      <c r="M348" s="18">
        <v>30</v>
      </c>
      <c r="N348" s="19">
        <v>30</v>
      </c>
    </row>
    <row r="349" spans="1:14" ht="30" x14ac:dyDescent="0.25">
      <c r="A349" s="74" t="s">
        <v>592</v>
      </c>
      <c r="B349" s="77" t="s">
        <v>593</v>
      </c>
      <c r="C349" s="77" t="s">
        <v>572</v>
      </c>
      <c r="D349" s="16" t="s">
        <v>34</v>
      </c>
      <c r="E349" s="16"/>
      <c r="F349" s="17">
        <f>SUM(F350:F352)+5</f>
        <v>5</v>
      </c>
      <c r="G349" s="17">
        <f>SUM(G350:G352)+5</f>
        <v>5</v>
      </c>
      <c r="H349" s="17">
        <f>SUM(H350:H352)+5</f>
        <v>5</v>
      </c>
      <c r="I349" s="17">
        <f>SUM(I350:I352)+5</f>
        <v>5</v>
      </c>
      <c r="J349" s="16" t="s">
        <v>594</v>
      </c>
      <c r="K349" s="18" t="s">
        <v>25</v>
      </c>
      <c r="L349" s="18">
        <v>1</v>
      </c>
      <c r="M349" s="18">
        <v>1</v>
      </c>
      <c r="N349" s="19">
        <v>1</v>
      </c>
    </row>
    <row r="350" spans="1:14" ht="30" x14ac:dyDescent="0.25">
      <c r="A350" s="75"/>
      <c r="B350" s="78"/>
      <c r="C350" s="78"/>
      <c r="D350" s="20"/>
      <c r="E350" s="20"/>
      <c r="F350" s="21">
        <v>0</v>
      </c>
      <c r="G350" s="21">
        <v>0</v>
      </c>
      <c r="H350" s="21">
        <v>0</v>
      </c>
      <c r="I350" s="21">
        <v>0</v>
      </c>
      <c r="J350" s="20" t="s">
        <v>595</v>
      </c>
      <c r="K350" s="22" t="s">
        <v>25</v>
      </c>
      <c r="L350" s="22">
        <v>1</v>
      </c>
      <c r="M350" s="22">
        <v>1</v>
      </c>
      <c r="N350" s="23">
        <v>1</v>
      </c>
    </row>
    <row r="351" spans="1:14" ht="15.75" customHeight="1" x14ac:dyDescent="0.25">
      <c r="A351" s="75"/>
      <c r="B351" s="78"/>
      <c r="C351" s="78"/>
      <c r="D351" s="20"/>
      <c r="E351" s="20"/>
      <c r="F351" s="21">
        <v>0</v>
      </c>
      <c r="G351" s="21">
        <v>0</v>
      </c>
      <c r="H351" s="21">
        <v>0</v>
      </c>
      <c r="I351" s="21">
        <v>0</v>
      </c>
      <c r="J351" s="20" t="s">
        <v>596</v>
      </c>
      <c r="K351" s="22" t="s">
        <v>251</v>
      </c>
      <c r="L351" s="22">
        <v>1</v>
      </c>
      <c r="M351" s="22">
        <v>1</v>
      </c>
      <c r="N351" s="23">
        <v>1</v>
      </c>
    </row>
    <row r="352" spans="1:14" ht="30.75" thickBot="1" x14ac:dyDescent="0.3">
      <c r="A352" s="76"/>
      <c r="B352" s="79"/>
      <c r="C352" s="79"/>
      <c r="D352" s="20"/>
      <c r="E352" s="20"/>
      <c r="F352" s="21">
        <v>0</v>
      </c>
      <c r="G352" s="21">
        <v>0</v>
      </c>
      <c r="H352" s="21">
        <v>0</v>
      </c>
      <c r="I352" s="21">
        <v>0</v>
      </c>
      <c r="J352" s="20" t="s">
        <v>597</v>
      </c>
      <c r="K352" s="22" t="s">
        <v>25</v>
      </c>
      <c r="L352" s="22">
        <v>1</v>
      </c>
      <c r="M352" s="22">
        <v>1</v>
      </c>
      <c r="N352" s="23">
        <v>1</v>
      </c>
    </row>
    <row r="353" spans="1:14" ht="30" x14ac:dyDescent="0.25">
      <c r="A353" s="74" t="s">
        <v>598</v>
      </c>
      <c r="B353" s="77" t="s">
        <v>599</v>
      </c>
      <c r="C353" s="77" t="s">
        <v>572</v>
      </c>
      <c r="D353" s="16" t="s">
        <v>34</v>
      </c>
      <c r="E353" s="16" t="s">
        <v>600</v>
      </c>
      <c r="F353" s="17">
        <f>SUM(F354:F362)+423.9</f>
        <v>423.9</v>
      </c>
      <c r="G353" s="17">
        <f>SUM(G354:G362)+423.9</f>
        <v>423.9</v>
      </c>
      <c r="H353" s="17">
        <f>SUM(H354:H362)+450.9</f>
        <v>450.9</v>
      </c>
      <c r="I353" s="17">
        <f>SUM(I354:I362)+473.4</f>
        <v>473.4</v>
      </c>
      <c r="J353" s="16" t="s">
        <v>601</v>
      </c>
      <c r="K353" s="18" t="s">
        <v>251</v>
      </c>
      <c r="L353" s="18">
        <v>120</v>
      </c>
      <c r="M353" s="18">
        <v>120</v>
      </c>
      <c r="N353" s="19">
        <v>120</v>
      </c>
    </row>
    <row r="354" spans="1:14" x14ac:dyDescent="0.25">
      <c r="A354" s="75"/>
      <c r="B354" s="78"/>
      <c r="C354" s="78"/>
      <c r="D354" s="20"/>
      <c r="E354" s="20"/>
      <c r="F354" s="21">
        <v>0</v>
      </c>
      <c r="G354" s="21">
        <v>0</v>
      </c>
      <c r="H354" s="21">
        <v>0</v>
      </c>
      <c r="I354" s="21">
        <v>0</v>
      </c>
      <c r="J354" s="20" t="s">
        <v>602</v>
      </c>
      <c r="K354" s="22" t="s">
        <v>251</v>
      </c>
      <c r="L354" s="22">
        <v>4</v>
      </c>
      <c r="M354" s="22">
        <v>3</v>
      </c>
      <c r="N354" s="23">
        <v>3</v>
      </c>
    </row>
    <row r="355" spans="1:14" ht="45" x14ac:dyDescent="0.25">
      <c r="A355" s="75"/>
      <c r="B355" s="78"/>
      <c r="C355" s="78"/>
      <c r="D355" s="20"/>
      <c r="E355" s="20"/>
      <c r="F355" s="21">
        <v>0</v>
      </c>
      <c r="G355" s="21">
        <v>0</v>
      </c>
      <c r="H355" s="21">
        <v>0</v>
      </c>
      <c r="I355" s="21">
        <v>0</v>
      </c>
      <c r="J355" s="20" t="s">
        <v>603</v>
      </c>
      <c r="K355" s="22" t="s">
        <v>251</v>
      </c>
      <c r="L355" s="22">
        <v>6</v>
      </c>
      <c r="M355" s="22">
        <v>6</v>
      </c>
      <c r="N355" s="23">
        <v>6</v>
      </c>
    </row>
    <row r="356" spans="1:14" ht="45" x14ac:dyDescent="0.25">
      <c r="A356" s="75"/>
      <c r="B356" s="78"/>
      <c r="C356" s="78"/>
      <c r="D356" s="20"/>
      <c r="E356" s="20"/>
      <c r="F356" s="21">
        <v>0</v>
      </c>
      <c r="G356" s="21">
        <v>0</v>
      </c>
      <c r="H356" s="21">
        <v>0</v>
      </c>
      <c r="I356" s="21">
        <v>0</v>
      </c>
      <c r="J356" s="20" t="s">
        <v>604</v>
      </c>
      <c r="K356" s="22" t="s">
        <v>251</v>
      </c>
      <c r="L356" s="22">
        <v>1</v>
      </c>
      <c r="M356" s="22">
        <v>1</v>
      </c>
      <c r="N356" s="23">
        <v>1</v>
      </c>
    </row>
    <row r="357" spans="1:14" ht="30" x14ac:dyDescent="0.25">
      <c r="A357" s="75"/>
      <c r="B357" s="78"/>
      <c r="C357" s="78"/>
      <c r="D357" s="20"/>
      <c r="E357" s="20"/>
      <c r="F357" s="21">
        <v>0</v>
      </c>
      <c r="G357" s="21">
        <v>0</v>
      </c>
      <c r="H357" s="21">
        <v>0</v>
      </c>
      <c r="I357" s="21">
        <v>0</v>
      </c>
      <c r="J357" s="20" t="s">
        <v>605</v>
      </c>
      <c r="K357" s="22" t="s">
        <v>251</v>
      </c>
      <c r="L357" s="22">
        <v>10</v>
      </c>
      <c r="M357" s="22">
        <v>10</v>
      </c>
      <c r="N357" s="23">
        <v>10</v>
      </c>
    </row>
    <row r="358" spans="1:14" x14ac:dyDescent="0.25">
      <c r="A358" s="75"/>
      <c r="B358" s="78"/>
      <c r="C358" s="78"/>
      <c r="D358" s="20"/>
      <c r="E358" s="20"/>
      <c r="F358" s="21">
        <v>0</v>
      </c>
      <c r="G358" s="21">
        <v>0</v>
      </c>
      <c r="H358" s="21">
        <v>0</v>
      </c>
      <c r="I358" s="21">
        <v>0</v>
      </c>
      <c r="J358" s="20" t="s">
        <v>606</v>
      </c>
      <c r="K358" s="22" t="s">
        <v>251</v>
      </c>
      <c r="L358" s="22">
        <v>45</v>
      </c>
      <c r="M358" s="22">
        <v>45</v>
      </c>
      <c r="N358" s="23">
        <v>45</v>
      </c>
    </row>
    <row r="359" spans="1:14" x14ac:dyDescent="0.25">
      <c r="A359" s="75"/>
      <c r="B359" s="78"/>
      <c r="C359" s="78"/>
      <c r="D359" s="20"/>
      <c r="E359" s="20"/>
      <c r="F359" s="21">
        <v>0</v>
      </c>
      <c r="G359" s="21">
        <v>0</v>
      </c>
      <c r="H359" s="21">
        <v>0</v>
      </c>
      <c r="I359" s="21">
        <v>0</v>
      </c>
      <c r="J359" s="20" t="s">
        <v>607</v>
      </c>
      <c r="K359" s="22" t="s">
        <v>251</v>
      </c>
      <c r="L359" s="22">
        <v>2</v>
      </c>
      <c r="M359" s="22">
        <v>2</v>
      </c>
      <c r="N359" s="23">
        <v>2</v>
      </c>
    </row>
    <row r="360" spans="1:14" ht="45" x14ac:dyDescent="0.25">
      <c r="A360" s="75"/>
      <c r="B360" s="78"/>
      <c r="C360" s="78"/>
      <c r="D360" s="20"/>
      <c r="E360" s="20"/>
      <c r="F360" s="21">
        <v>0</v>
      </c>
      <c r="G360" s="21">
        <v>0</v>
      </c>
      <c r="H360" s="21">
        <v>0</v>
      </c>
      <c r="I360" s="21">
        <v>0</v>
      </c>
      <c r="J360" s="20" t="s">
        <v>608</v>
      </c>
      <c r="K360" s="22" t="s">
        <v>251</v>
      </c>
      <c r="L360" s="31">
        <v>2400</v>
      </c>
      <c r="M360" s="31">
        <v>2400</v>
      </c>
      <c r="N360" s="32">
        <v>2400</v>
      </c>
    </row>
    <row r="361" spans="1:14" ht="30" x14ac:dyDescent="0.25">
      <c r="A361" s="75"/>
      <c r="B361" s="78"/>
      <c r="C361" s="78"/>
      <c r="D361" s="20"/>
      <c r="E361" s="20"/>
      <c r="F361" s="21">
        <v>0</v>
      </c>
      <c r="G361" s="21">
        <v>0</v>
      </c>
      <c r="H361" s="21">
        <v>0</v>
      </c>
      <c r="I361" s="21">
        <v>0</v>
      </c>
      <c r="J361" s="20" t="s">
        <v>609</v>
      </c>
      <c r="K361" s="22" t="s">
        <v>251</v>
      </c>
      <c r="L361" s="31">
        <v>1000</v>
      </c>
      <c r="M361" s="31">
        <v>1000</v>
      </c>
      <c r="N361" s="32">
        <v>1000</v>
      </c>
    </row>
    <row r="362" spans="1:14" ht="30.75" thickBot="1" x14ac:dyDescent="0.3">
      <c r="A362" s="76"/>
      <c r="B362" s="79"/>
      <c r="C362" s="79"/>
      <c r="D362" s="20"/>
      <c r="E362" s="20"/>
      <c r="F362" s="21">
        <v>0</v>
      </c>
      <c r="G362" s="21">
        <v>0</v>
      </c>
      <c r="H362" s="21">
        <v>0</v>
      </c>
      <c r="I362" s="21">
        <v>0</v>
      </c>
      <c r="J362" s="20" t="s">
        <v>610</v>
      </c>
      <c r="K362" s="22" t="s">
        <v>251</v>
      </c>
      <c r="L362" s="22">
        <v>2</v>
      </c>
      <c r="M362" s="22">
        <v>2</v>
      </c>
      <c r="N362" s="23">
        <v>2</v>
      </c>
    </row>
    <row r="363" spans="1:14" ht="28.5" customHeight="1" thickBot="1" x14ac:dyDescent="0.3">
      <c r="A363" s="24" t="s">
        <v>611</v>
      </c>
      <c r="B363" s="25" t="s">
        <v>612</v>
      </c>
      <c r="C363" s="16" t="s">
        <v>572</v>
      </c>
      <c r="D363" s="16" t="s">
        <v>34</v>
      </c>
      <c r="E363" s="16" t="s">
        <v>600</v>
      </c>
      <c r="F363" s="26">
        <v>30</v>
      </c>
      <c r="G363" s="26">
        <v>30</v>
      </c>
      <c r="H363" s="26">
        <v>33</v>
      </c>
      <c r="I363" s="26">
        <v>35</v>
      </c>
      <c r="J363" s="16" t="s">
        <v>613</v>
      </c>
      <c r="K363" s="18" t="s">
        <v>251</v>
      </c>
      <c r="L363" s="18">
        <v>11</v>
      </c>
      <c r="M363" s="18">
        <v>11</v>
      </c>
      <c r="N363" s="19">
        <v>11</v>
      </c>
    </row>
    <row r="364" spans="1:14" ht="45.75" thickBot="1" x14ac:dyDescent="0.3">
      <c r="A364" s="24" t="s">
        <v>614</v>
      </c>
      <c r="B364" s="25" t="s">
        <v>615</v>
      </c>
      <c r="C364" s="16" t="s">
        <v>572</v>
      </c>
      <c r="D364" s="16" t="s">
        <v>34</v>
      </c>
      <c r="E364" s="16"/>
      <c r="F364" s="26">
        <v>108.2</v>
      </c>
      <c r="G364" s="26">
        <v>108.2</v>
      </c>
      <c r="H364" s="26">
        <v>118.1</v>
      </c>
      <c r="I364" s="26">
        <v>143.9</v>
      </c>
      <c r="J364" s="16" t="s">
        <v>616</v>
      </c>
      <c r="K364" s="18" t="s">
        <v>251</v>
      </c>
      <c r="L364" s="18">
        <v>6</v>
      </c>
      <c r="M364" s="18">
        <v>6</v>
      </c>
      <c r="N364" s="19">
        <v>6</v>
      </c>
    </row>
    <row r="365" spans="1:14" ht="29.25" customHeight="1" thickBot="1" x14ac:dyDescent="0.3">
      <c r="A365" s="14" t="s">
        <v>617</v>
      </c>
      <c r="B365" s="89" t="s">
        <v>618</v>
      </c>
      <c r="C365" s="90"/>
      <c r="D365" s="90"/>
      <c r="E365" s="91"/>
      <c r="F365" s="15">
        <f>F366+F375+F377+F378+F381+F389+F392+F393+F402+F403+F404+F407+F408+F409+F412+F413-0.1</f>
        <v>111845.6</v>
      </c>
      <c r="G365" s="15">
        <f>G366+G375+G377+G378+G381+G389+G392+G393+G402+G403+G404+G407+G408+G409+G412+G413</f>
        <v>112240</v>
      </c>
      <c r="H365" s="15">
        <f>H366+H375+H377+H378+H381+H389+H392+H393+H402+H403+H404+H407+H408+H409+H412+H413</f>
        <v>111783.70000000003</v>
      </c>
      <c r="I365" s="15">
        <f>I366+I375+I377+I378+I381+I389+I392+I393+I402+I403+I404+I407+I408+I409+I412+I413</f>
        <v>115067.00000000001</v>
      </c>
      <c r="J365" s="71"/>
      <c r="K365" s="72"/>
      <c r="L365" s="72"/>
      <c r="M365" s="72"/>
      <c r="N365" s="73"/>
    </row>
    <row r="366" spans="1:14" x14ac:dyDescent="0.25">
      <c r="A366" s="74" t="s">
        <v>619</v>
      </c>
      <c r="B366" s="77" t="s">
        <v>620</v>
      </c>
      <c r="C366" s="77" t="s">
        <v>572</v>
      </c>
      <c r="D366" s="16"/>
      <c r="E366" s="16"/>
      <c r="F366" s="17">
        <f>SUM(F367:F374)</f>
        <v>69644.400000000009</v>
      </c>
      <c r="G366" s="17">
        <f>SUM(G367:G374)-0.1</f>
        <v>69834.299999999988</v>
      </c>
      <c r="H366" s="17">
        <f>SUM(H367:H374)</f>
        <v>69422.500000000015</v>
      </c>
      <c r="I366" s="17">
        <f>SUM(I367:I374)</f>
        <v>70608.600000000006</v>
      </c>
      <c r="J366" s="16" t="s">
        <v>621</v>
      </c>
      <c r="K366" s="18" t="s">
        <v>251</v>
      </c>
      <c r="L366" s="18">
        <v>30</v>
      </c>
      <c r="M366" s="18">
        <v>30</v>
      </c>
      <c r="N366" s="19">
        <v>30</v>
      </c>
    </row>
    <row r="367" spans="1:14" ht="30" x14ac:dyDescent="0.25">
      <c r="A367" s="75"/>
      <c r="B367" s="78"/>
      <c r="C367" s="78"/>
      <c r="D367" s="20" t="s">
        <v>125</v>
      </c>
      <c r="E367" s="20"/>
      <c r="F367" s="21">
        <v>1835.7</v>
      </c>
      <c r="G367" s="21">
        <v>1887.7</v>
      </c>
      <c r="H367" s="21">
        <v>1842.2</v>
      </c>
      <c r="I367" s="21">
        <v>1846.2</v>
      </c>
      <c r="J367" s="20" t="s">
        <v>622</v>
      </c>
      <c r="K367" s="22" t="s">
        <v>251</v>
      </c>
      <c r="L367" s="31">
        <v>14300</v>
      </c>
      <c r="M367" s="31">
        <v>14300</v>
      </c>
      <c r="N367" s="32">
        <v>14300</v>
      </c>
    </row>
    <row r="368" spans="1:14" x14ac:dyDescent="0.25">
      <c r="A368" s="75"/>
      <c r="B368" s="78"/>
      <c r="C368" s="78"/>
      <c r="D368" s="20" t="s">
        <v>118</v>
      </c>
      <c r="E368" s="20"/>
      <c r="F368" s="21">
        <v>749.1</v>
      </c>
      <c r="G368" s="21">
        <v>755.2</v>
      </c>
      <c r="H368" s="21">
        <v>629.6</v>
      </c>
      <c r="I368" s="21">
        <v>581.4</v>
      </c>
      <c r="J368" s="20" t="s">
        <v>623</v>
      </c>
      <c r="K368" s="22" t="s">
        <v>25</v>
      </c>
      <c r="L368" s="22">
        <v>1</v>
      </c>
      <c r="M368" s="22">
        <v>1</v>
      </c>
      <c r="N368" s="23">
        <v>1</v>
      </c>
    </row>
    <row r="369" spans="1:14" ht="30" x14ac:dyDescent="0.25">
      <c r="A369" s="75"/>
      <c r="B369" s="78"/>
      <c r="C369" s="78"/>
      <c r="D369" s="20" t="s">
        <v>624</v>
      </c>
      <c r="E369" s="20"/>
      <c r="F369" s="21">
        <v>45217.4</v>
      </c>
      <c r="G369" s="21">
        <v>45217.4</v>
      </c>
      <c r="H369" s="21">
        <v>45217.4</v>
      </c>
      <c r="I369" s="21">
        <v>45217.4</v>
      </c>
      <c r="J369" s="20" t="s">
        <v>625</v>
      </c>
      <c r="K369" s="22" t="s">
        <v>251</v>
      </c>
      <c r="L369" s="31">
        <v>5500</v>
      </c>
      <c r="M369" s="31">
        <v>5500</v>
      </c>
      <c r="N369" s="32">
        <v>5500</v>
      </c>
    </row>
    <row r="370" spans="1:14" ht="30" x14ac:dyDescent="0.25">
      <c r="A370" s="75"/>
      <c r="B370" s="78"/>
      <c r="C370" s="78"/>
      <c r="D370" s="20" t="s">
        <v>128</v>
      </c>
      <c r="E370" s="20"/>
      <c r="F370" s="21">
        <v>1012.6</v>
      </c>
      <c r="G370" s="21">
        <v>1046.5999999999999</v>
      </c>
      <c r="H370" s="21">
        <v>642.4</v>
      </c>
      <c r="I370" s="21">
        <v>562.6</v>
      </c>
      <c r="J370" s="20" t="s">
        <v>626</v>
      </c>
      <c r="K370" s="22" t="s">
        <v>25</v>
      </c>
      <c r="L370" s="22">
        <v>1</v>
      </c>
      <c r="M370" s="22">
        <v>1</v>
      </c>
      <c r="N370" s="23">
        <v>1</v>
      </c>
    </row>
    <row r="371" spans="1:14" ht="30" x14ac:dyDescent="0.25">
      <c r="A371" s="75"/>
      <c r="B371" s="78"/>
      <c r="C371" s="78"/>
      <c r="D371" s="20" t="s">
        <v>123</v>
      </c>
      <c r="E371" s="20"/>
      <c r="F371" s="21">
        <v>6264.8</v>
      </c>
      <c r="G371" s="21">
        <v>6321.1</v>
      </c>
      <c r="H371" s="21">
        <v>6264.8</v>
      </c>
      <c r="I371" s="21">
        <v>6264.8</v>
      </c>
      <c r="J371" s="20" t="s">
        <v>627</v>
      </c>
      <c r="K371" s="22" t="s">
        <v>251</v>
      </c>
      <c r="L371" s="22">
        <v>30</v>
      </c>
      <c r="M371" s="22">
        <v>30</v>
      </c>
      <c r="N371" s="23">
        <v>30</v>
      </c>
    </row>
    <row r="372" spans="1:14" ht="30" x14ac:dyDescent="0.25">
      <c r="A372" s="75"/>
      <c r="B372" s="78"/>
      <c r="C372" s="78"/>
      <c r="D372" s="20" t="s">
        <v>34</v>
      </c>
      <c r="E372" s="20"/>
      <c r="F372" s="21">
        <v>14005.7</v>
      </c>
      <c r="G372" s="21">
        <v>14005.7</v>
      </c>
      <c r="H372" s="21">
        <v>14643.6</v>
      </c>
      <c r="I372" s="21">
        <v>15953.7</v>
      </c>
      <c r="J372" s="20" t="s">
        <v>628</v>
      </c>
      <c r="K372" s="22" t="s">
        <v>222</v>
      </c>
      <c r="L372" s="22">
        <v>11.7</v>
      </c>
      <c r="M372" s="22">
        <v>11.7</v>
      </c>
      <c r="N372" s="23">
        <v>11.7</v>
      </c>
    </row>
    <row r="373" spans="1:14" ht="45" x14ac:dyDescent="0.25">
      <c r="A373" s="75"/>
      <c r="B373" s="78"/>
      <c r="C373" s="78"/>
      <c r="D373" s="20" t="s">
        <v>32</v>
      </c>
      <c r="E373" s="20"/>
      <c r="F373" s="21">
        <v>376.6</v>
      </c>
      <c r="G373" s="21">
        <v>415.7</v>
      </c>
      <c r="H373" s="21">
        <v>0</v>
      </c>
      <c r="I373" s="21">
        <v>0</v>
      </c>
      <c r="J373" s="20" t="s">
        <v>629</v>
      </c>
      <c r="K373" s="22" t="s">
        <v>251</v>
      </c>
      <c r="L373" s="31">
        <v>13500</v>
      </c>
      <c r="M373" s="31">
        <v>13500</v>
      </c>
      <c r="N373" s="32">
        <v>13500</v>
      </c>
    </row>
    <row r="374" spans="1:14" ht="15.75" thickBot="1" x14ac:dyDescent="0.3">
      <c r="A374" s="76"/>
      <c r="B374" s="79"/>
      <c r="C374" s="79"/>
      <c r="D374" s="20" t="s">
        <v>121</v>
      </c>
      <c r="E374" s="20"/>
      <c r="F374" s="21">
        <v>182.5</v>
      </c>
      <c r="G374" s="21">
        <v>185</v>
      </c>
      <c r="H374" s="21">
        <v>182.5</v>
      </c>
      <c r="I374" s="21">
        <v>182.5</v>
      </c>
      <c r="J374" s="20"/>
      <c r="K374" s="22"/>
      <c r="L374" s="22"/>
      <c r="M374" s="22"/>
      <c r="N374" s="23"/>
    </row>
    <row r="375" spans="1:14" ht="30" x14ac:dyDescent="0.25">
      <c r="A375" s="74" t="s">
        <v>630</v>
      </c>
      <c r="B375" s="77" t="s">
        <v>631</v>
      </c>
      <c r="C375" s="77" t="s">
        <v>572</v>
      </c>
      <c r="D375" s="16" t="s">
        <v>624</v>
      </c>
      <c r="E375" s="16"/>
      <c r="F375" s="17">
        <f>SUM(F376:F376)+705.9</f>
        <v>705.9</v>
      </c>
      <c r="G375" s="17">
        <f>SUM(G376:G376)+705.9</f>
        <v>705.9</v>
      </c>
      <c r="H375" s="17">
        <f>SUM(H376:H376)+705.9</f>
        <v>705.9</v>
      </c>
      <c r="I375" s="17">
        <f>SUM(I376:I376)+705.9</f>
        <v>705.9</v>
      </c>
      <c r="J375" s="16" t="s">
        <v>632</v>
      </c>
      <c r="K375" s="18" t="s">
        <v>251</v>
      </c>
      <c r="L375" s="18">
        <v>54</v>
      </c>
      <c r="M375" s="18">
        <v>54</v>
      </c>
      <c r="N375" s="19">
        <v>54</v>
      </c>
    </row>
    <row r="376" spans="1:14" ht="30.75" thickBot="1" x14ac:dyDescent="0.3">
      <c r="A376" s="76"/>
      <c r="B376" s="79"/>
      <c r="C376" s="79"/>
      <c r="D376" s="20"/>
      <c r="E376" s="20"/>
      <c r="F376" s="21">
        <v>0</v>
      </c>
      <c r="G376" s="21">
        <v>0</v>
      </c>
      <c r="H376" s="21">
        <v>0</v>
      </c>
      <c r="I376" s="21">
        <v>0</v>
      </c>
      <c r="J376" s="20" t="s">
        <v>633</v>
      </c>
      <c r="K376" s="22" t="s">
        <v>251</v>
      </c>
      <c r="L376" s="22">
        <v>30</v>
      </c>
      <c r="M376" s="22">
        <v>30</v>
      </c>
      <c r="N376" s="23">
        <v>30</v>
      </c>
    </row>
    <row r="377" spans="1:14" ht="30.75" thickBot="1" x14ac:dyDescent="0.3">
      <c r="A377" s="24" t="s">
        <v>634</v>
      </c>
      <c r="B377" s="25" t="s">
        <v>635</v>
      </c>
      <c r="C377" s="16" t="s">
        <v>572</v>
      </c>
      <c r="D377" s="16" t="s">
        <v>34</v>
      </c>
      <c r="E377" s="16"/>
      <c r="F377" s="26">
        <v>80</v>
      </c>
      <c r="G377" s="26">
        <v>80</v>
      </c>
      <c r="H377" s="26">
        <v>80</v>
      </c>
      <c r="I377" s="26">
        <v>80</v>
      </c>
      <c r="J377" s="16" t="s">
        <v>636</v>
      </c>
      <c r="K377" s="18" t="s">
        <v>251</v>
      </c>
      <c r="L377" s="18">
        <v>700</v>
      </c>
      <c r="M377" s="18">
        <v>700</v>
      </c>
      <c r="N377" s="19">
        <v>700</v>
      </c>
    </row>
    <row r="378" spans="1:14" ht="52.5" customHeight="1" x14ac:dyDescent="0.25">
      <c r="A378" s="74" t="s">
        <v>637</v>
      </c>
      <c r="B378" s="77" t="s">
        <v>638</v>
      </c>
      <c r="C378" s="77" t="s">
        <v>572</v>
      </c>
      <c r="D378" s="16"/>
      <c r="E378" s="16"/>
      <c r="F378" s="17">
        <f>SUM(F379:F380)</f>
        <v>992.5</v>
      </c>
      <c r="G378" s="17">
        <f>SUM(G379:G380)</f>
        <v>992.5</v>
      </c>
      <c r="H378" s="17">
        <f>SUM(H379:H380)</f>
        <v>992.5</v>
      </c>
      <c r="I378" s="17">
        <f>SUM(I379:I380)</f>
        <v>992.5</v>
      </c>
      <c r="J378" s="16" t="s">
        <v>639</v>
      </c>
      <c r="K378" s="18" t="s">
        <v>251</v>
      </c>
      <c r="L378" s="18">
        <v>2</v>
      </c>
      <c r="M378" s="18">
        <v>2</v>
      </c>
      <c r="N378" s="19">
        <v>2</v>
      </c>
    </row>
    <row r="379" spans="1:14" ht="30" x14ac:dyDescent="0.25">
      <c r="A379" s="75"/>
      <c r="B379" s="78"/>
      <c r="C379" s="78"/>
      <c r="D379" s="20" t="s">
        <v>624</v>
      </c>
      <c r="E379" s="20"/>
      <c r="F379" s="21">
        <v>923.7</v>
      </c>
      <c r="G379" s="21">
        <v>923.7</v>
      </c>
      <c r="H379" s="21">
        <v>923.7</v>
      </c>
      <c r="I379" s="21">
        <v>923.7</v>
      </c>
      <c r="J379" s="20" t="s">
        <v>640</v>
      </c>
      <c r="K379" s="22" t="s">
        <v>251</v>
      </c>
      <c r="L379" s="22">
        <v>1</v>
      </c>
      <c r="M379" s="22">
        <v>1</v>
      </c>
      <c r="N379" s="23">
        <v>1</v>
      </c>
    </row>
    <row r="380" spans="1:14" ht="15.75" thickBot="1" x14ac:dyDescent="0.3">
      <c r="A380" s="76"/>
      <c r="B380" s="79"/>
      <c r="C380" s="79"/>
      <c r="D380" s="20" t="s">
        <v>34</v>
      </c>
      <c r="E380" s="20"/>
      <c r="F380" s="21">
        <v>68.8</v>
      </c>
      <c r="G380" s="21">
        <v>68.8</v>
      </c>
      <c r="H380" s="21">
        <v>68.8</v>
      </c>
      <c r="I380" s="21">
        <v>68.8</v>
      </c>
      <c r="J380" s="20"/>
      <c r="K380" s="22"/>
      <c r="L380" s="22"/>
      <c r="M380" s="22"/>
      <c r="N380" s="23"/>
    </row>
    <row r="381" spans="1:14" x14ac:dyDescent="0.25">
      <c r="A381" s="74" t="s">
        <v>641</v>
      </c>
      <c r="B381" s="77" t="s">
        <v>642</v>
      </c>
      <c r="C381" s="77" t="s">
        <v>643</v>
      </c>
      <c r="D381" s="16"/>
      <c r="E381" s="16"/>
      <c r="F381" s="17">
        <f>SUM(F382:F388)</f>
        <v>6966.1</v>
      </c>
      <c r="G381" s="17">
        <f>SUM(G382:G388)</f>
        <v>6966.1</v>
      </c>
      <c r="H381" s="17">
        <f>SUM(H382:H388)</f>
        <v>6968.3</v>
      </c>
      <c r="I381" s="17">
        <f>SUM(I382:I388)</f>
        <v>7587.1</v>
      </c>
      <c r="J381" s="16" t="s">
        <v>644</v>
      </c>
      <c r="K381" s="18" t="s">
        <v>251</v>
      </c>
      <c r="L381" s="18">
        <v>8</v>
      </c>
      <c r="M381" s="18">
        <v>8</v>
      </c>
      <c r="N381" s="19">
        <v>8</v>
      </c>
    </row>
    <row r="382" spans="1:14" ht="30" x14ac:dyDescent="0.25">
      <c r="A382" s="75"/>
      <c r="B382" s="78"/>
      <c r="C382" s="78"/>
      <c r="D382" s="20" t="s">
        <v>125</v>
      </c>
      <c r="E382" s="20"/>
      <c r="F382" s="21">
        <v>378.5</v>
      </c>
      <c r="G382" s="21">
        <v>378.5</v>
      </c>
      <c r="H382" s="21">
        <v>378.5</v>
      </c>
      <c r="I382" s="21">
        <v>378.5</v>
      </c>
      <c r="J382" s="20" t="s">
        <v>645</v>
      </c>
      <c r="K382" s="22" t="s">
        <v>251</v>
      </c>
      <c r="L382" s="31">
        <v>4600</v>
      </c>
      <c r="M382" s="31">
        <v>4600</v>
      </c>
      <c r="N382" s="32">
        <v>4600</v>
      </c>
    </row>
    <row r="383" spans="1:14" x14ac:dyDescent="0.25">
      <c r="A383" s="75"/>
      <c r="B383" s="78"/>
      <c r="C383" s="78"/>
      <c r="D383" s="20" t="s">
        <v>118</v>
      </c>
      <c r="E383" s="20"/>
      <c r="F383" s="21">
        <v>112.1</v>
      </c>
      <c r="G383" s="21">
        <v>112.1</v>
      </c>
      <c r="H383" s="21">
        <v>97.6</v>
      </c>
      <c r="I383" s="21">
        <v>99.6</v>
      </c>
      <c r="J383" s="20" t="s">
        <v>646</v>
      </c>
      <c r="K383" s="22" t="s">
        <v>251</v>
      </c>
      <c r="L383" s="31">
        <v>1100</v>
      </c>
      <c r="M383" s="31">
        <v>1100</v>
      </c>
      <c r="N383" s="32">
        <v>1100</v>
      </c>
    </row>
    <row r="384" spans="1:14" x14ac:dyDescent="0.25">
      <c r="A384" s="75"/>
      <c r="B384" s="78"/>
      <c r="C384" s="78"/>
      <c r="D384" s="20" t="s">
        <v>624</v>
      </c>
      <c r="E384" s="20"/>
      <c r="F384" s="21">
        <v>316.2</v>
      </c>
      <c r="G384" s="21">
        <v>316.2</v>
      </c>
      <c r="H384" s="21">
        <v>316.2</v>
      </c>
      <c r="I384" s="21">
        <v>316.2</v>
      </c>
      <c r="J384" s="20"/>
      <c r="K384" s="22"/>
      <c r="L384" s="22"/>
      <c r="M384" s="22"/>
      <c r="N384" s="23"/>
    </row>
    <row r="385" spans="1:14" x14ac:dyDescent="0.25">
      <c r="A385" s="75"/>
      <c r="B385" s="78"/>
      <c r="C385" s="78"/>
      <c r="D385" s="20" t="s">
        <v>32</v>
      </c>
      <c r="E385" s="20"/>
      <c r="F385" s="21">
        <v>142.4</v>
      </c>
      <c r="G385" s="21">
        <v>142.4</v>
      </c>
      <c r="H385" s="21"/>
      <c r="I385" s="21"/>
      <c r="J385" s="20"/>
      <c r="K385" s="22"/>
      <c r="L385" s="22"/>
      <c r="M385" s="22"/>
      <c r="N385" s="23"/>
    </row>
    <row r="386" spans="1:14" x14ac:dyDescent="0.25">
      <c r="A386" s="75"/>
      <c r="B386" s="78"/>
      <c r="C386" s="78"/>
      <c r="D386" s="20" t="s">
        <v>34</v>
      </c>
      <c r="E386" s="20"/>
      <c r="F386" s="21">
        <v>5873.3</v>
      </c>
      <c r="G386" s="21">
        <v>5873.3</v>
      </c>
      <c r="H386" s="21">
        <v>6167</v>
      </c>
      <c r="I386" s="21">
        <v>6783.8</v>
      </c>
      <c r="J386" s="20"/>
      <c r="K386" s="22"/>
      <c r="L386" s="22"/>
      <c r="M386" s="22"/>
      <c r="N386" s="23"/>
    </row>
    <row r="387" spans="1:14" x14ac:dyDescent="0.25">
      <c r="A387" s="75"/>
      <c r="B387" s="78"/>
      <c r="C387" s="78"/>
      <c r="D387" s="20" t="s">
        <v>128</v>
      </c>
      <c r="E387" s="20"/>
      <c r="F387" s="21">
        <v>134.6</v>
      </c>
      <c r="G387" s="21">
        <v>134.6</v>
      </c>
      <c r="H387" s="21"/>
      <c r="I387" s="21"/>
      <c r="J387" s="20"/>
      <c r="K387" s="22"/>
      <c r="L387" s="22"/>
      <c r="M387" s="22"/>
      <c r="N387" s="23"/>
    </row>
    <row r="388" spans="1:14" ht="15.75" thickBot="1" x14ac:dyDescent="0.3">
      <c r="A388" s="76"/>
      <c r="B388" s="79"/>
      <c r="C388" s="79"/>
      <c r="D388" s="20" t="s">
        <v>121</v>
      </c>
      <c r="E388" s="20"/>
      <c r="F388" s="21">
        <v>9</v>
      </c>
      <c r="G388" s="21">
        <v>9</v>
      </c>
      <c r="H388" s="21">
        <v>9</v>
      </c>
      <c r="I388" s="21">
        <v>9</v>
      </c>
      <c r="J388" s="20"/>
      <c r="K388" s="22"/>
      <c r="L388" s="22"/>
      <c r="M388" s="22"/>
      <c r="N388" s="23"/>
    </row>
    <row r="389" spans="1:14" x14ac:dyDescent="0.25">
      <c r="A389" s="74" t="s">
        <v>647</v>
      </c>
      <c r="B389" s="77" t="s">
        <v>648</v>
      </c>
      <c r="C389" s="77" t="s">
        <v>572</v>
      </c>
      <c r="D389" s="16" t="s">
        <v>123</v>
      </c>
      <c r="E389" s="16"/>
      <c r="F389" s="17">
        <f>SUM(F390:F391)+826.8</f>
        <v>826.8</v>
      </c>
      <c r="G389" s="17">
        <f>SUM(G390:G391)+826.8</f>
        <v>826.8</v>
      </c>
      <c r="H389" s="17">
        <f>SUM(H390:H391)+826.8</f>
        <v>826.8</v>
      </c>
      <c r="I389" s="17">
        <f>SUM(I390:I391)+826.8</f>
        <v>826.8</v>
      </c>
      <c r="J389" s="16" t="s">
        <v>649</v>
      </c>
      <c r="K389" s="18" t="s">
        <v>251</v>
      </c>
      <c r="L389" s="18">
        <v>125</v>
      </c>
      <c r="M389" s="18">
        <v>125</v>
      </c>
      <c r="N389" s="19">
        <v>125</v>
      </c>
    </row>
    <row r="390" spans="1:14" x14ac:dyDescent="0.25">
      <c r="A390" s="75"/>
      <c r="B390" s="78"/>
      <c r="C390" s="78"/>
      <c r="D390" s="20"/>
      <c r="E390" s="20"/>
      <c r="F390" s="21">
        <v>0</v>
      </c>
      <c r="G390" s="21">
        <v>0</v>
      </c>
      <c r="H390" s="21">
        <v>0</v>
      </c>
      <c r="I390" s="21">
        <v>0</v>
      </c>
      <c r="J390" s="20" t="s">
        <v>650</v>
      </c>
      <c r="K390" s="22" t="s">
        <v>251</v>
      </c>
      <c r="L390" s="22">
        <v>60</v>
      </c>
      <c r="M390" s="22">
        <v>60</v>
      </c>
      <c r="N390" s="23">
        <v>60</v>
      </c>
    </row>
    <row r="391" spans="1:14" ht="41.25" customHeight="1" thickBot="1" x14ac:dyDescent="0.3">
      <c r="A391" s="76"/>
      <c r="B391" s="79"/>
      <c r="C391" s="79"/>
      <c r="D391" s="20"/>
      <c r="E391" s="20"/>
      <c r="F391" s="21">
        <v>0</v>
      </c>
      <c r="G391" s="21">
        <v>0</v>
      </c>
      <c r="H391" s="21">
        <v>0</v>
      </c>
      <c r="I391" s="21">
        <v>0</v>
      </c>
      <c r="J391" s="20" t="s">
        <v>651</v>
      </c>
      <c r="K391" s="22" t="s">
        <v>251</v>
      </c>
      <c r="L391" s="31">
        <v>3500</v>
      </c>
      <c r="M391" s="31">
        <v>3500</v>
      </c>
      <c r="N391" s="32">
        <v>3500</v>
      </c>
    </row>
    <row r="392" spans="1:14" ht="45.75" thickBot="1" x14ac:dyDescent="0.3">
      <c r="A392" s="24" t="s">
        <v>652</v>
      </c>
      <c r="B392" s="25" t="s">
        <v>653</v>
      </c>
      <c r="C392" s="16" t="s">
        <v>572</v>
      </c>
      <c r="D392" s="16" t="s">
        <v>34</v>
      </c>
      <c r="E392" s="16"/>
      <c r="F392" s="26">
        <v>15</v>
      </c>
      <c r="G392" s="26">
        <v>15</v>
      </c>
      <c r="H392" s="26">
        <v>15</v>
      </c>
      <c r="I392" s="26">
        <v>15</v>
      </c>
      <c r="J392" s="16" t="s">
        <v>654</v>
      </c>
      <c r="K392" s="18" t="s">
        <v>251</v>
      </c>
      <c r="L392" s="18">
        <v>70</v>
      </c>
      <c r="M392" s="18">
        <v>70</v>
      </c>
      <c r="N392" s="19">
        <v>70</v>
      </c>
    </row>
    <row r="393" spans="1:14" x14ac:dyDescent="0.25">
      <c r="A393" s="74" t="s">
        <v>655</v>
      </c>
      <c r="B393" s="77" t="s">
        <v>656</v>
      </c>
      <c r="C393" s="77" t="s">
        <v>572</v>
      </c>
      <c r="D393" s="16"/>
      <c r="E393" s="16"/>
      <c r="F393" s="17">
        <f>SUM(F394:F401)</f>
        <v>30229.600000000002</v>
      </c>
      <c r="G393" s="17">
        <f>SUM(G394:G401)</f>
        <v>30362.5</v>
      </c>
      <c r="H393" s="17">
        <f>SUM(H394:H401)</f>
        <v>30491.600000000002</v>
      </c>
      <c r="I393" s="17">
        <f>SUM(I394:I401)</f>
        <v>31971</v>
      </c>
      <c r="J393" s="16" t="s">
        <v>657</v>
      </c>
      <c r="K393" s="18" t="s">
        <v>251</v>
      </c>
      <c r="L393" s="18">
        <v>24</v>
      </c>
      <c r="M393" s="18">
        <v>24</v>
      </c>
      <c r="N393" s="19">
        <v>23</v>
      </c>
    </row>
    <row r="394" spans="1:14" x14ac:dyDescent="0.25">
      <c r="A394" s="75"/>
      <c r="B394" s="78"/>
      <c r="C394" s="78"/>
      <c r="D394" s="20" t="s">
        <v>118</v>
      </c>
      <c r="E394" s="20"/>
      <c r="F394" s="21">
        <v>89.3</v>
      </c>
      <c r="G394" s="21">
        <v>89.3</v>
      </c>
      <c r="H394" s="21">
        <v>42</v>
      </c>
      <c r="I394" s="21">
        <v>40.5</v>
      </c>
      <c r="J394" s="20" t="s">
        <v>658</v>
      </c>
      <c r="K394" s="22" t="s">
        <v>251</v>
      </c>
      <c r="L394" s="31">
        <v>4300</v>
      </c>
      <c r="M394" s="31">
        <v>4300</v>
      </c>
      <c r="N394" s="32">
        <v>4200</v>
      </c>
    </row>
    <row r="395" spans="1:14" x14ac:dyDescent="0.25">
      <c r="A395" s="75"/>
      <c r="B395" s="78"/>
      <c r="C395" s="78"/>
      <c r="D395" s="20" t="s">
        <v>121</v>
      </c>
      <c r="E395" s="20"/>
      <c r="F395" s="21">
        <v>256.8</v>
      </c>
      <c r="G395" s="21">
        <v>299.5</v>
      </c>
      <c r="H395" s="21">
        <v>116.4</v>
      </c>
      <c r="I395" s="21">
        <v>117.4</v>
      </c>
      <c r="J395" s="20" t="s">
        <v>659</v>
      </c>
      <c r="K395" s="22" t="s">
        <v>251</v>
      </c>
      <c r="L395" s="22">
        <v>3</v>
      </c>
      <c r="M395" s="22">
        <v>3</v>
      </c>
      <c r="N395" s="23">
        <v>4</v>
      </c>
    </row>
    <row r="396" spans="1:14" x14ac:dyDescent="0.25">
      <c r="A396" s="75"/>
      <c r="B396" s="78"/>
      <c r="C396" s="78"/>
      <c r="D396" s="20" t="s">
        <v>125</v>
      </c>
      <c r="E396" s="20"/>
      <c r="F396" s="21">
        <v>2773</v>
      </c>
      <c r="G396" s="21">
        <v>2773</v>
      </c>
      <c r="H396" s="21">
        <v>2773</v>
      </c>
      <c r="I396" s="21">
        <v>2773</v>
      </c>
      <c r="J396" s="20"/>
      <c r="K396" s="22"/>
      <c r="L396" s="22"/>
      <c r="M396" s="22"/>
      <c r="N396" s="23"/>
    </row>
    <row r="397" spans="1:14" x14ac:dyDescent="0.25">
      <c r="A397" s="75"/>
      <c r="B397" s="78"/>
      <c r="C397" s="78"/>
      <c r="D397" s="20" t="s">
        <v>34</v>
      </c>
      <c r="E397" s="20"/>
      <c r="F397" s="21">
        <v>14537.7</v>
      </c>
      <c r="G397" s="21">
        <v>14537.7</v>
      </c>
      <c r="H397" s="21">
        <v>15262.7</v>
      </c>
      <c r="I397" s="21">
        <v>16742.599999999999</v>
      </c>
      <c r="J397" s="20"/>
      <c r="K397" s="22"/>
      <c r="L397" s="22"/>
      <c r="M397" s="22"/>
      <c r="N397" s="23"/>
    </row>
    <row r="398" spans="1:14" x14ac:dyDescent="0.25">
      <c r="A398" s="75"/>
      <c r="B398" s="78"/>
      <c r="C398" s="78"/>
      <c r="D398" s="20" t="s">
        <v>128</v>
      </c>
      <c r="E398" s="20"/>
      <c r="F398" s="21">
        <v>36.4</v>
      </c>
      <c r="G398" s="21">
        <v>39.5</v>
      </c>
      <c r="H398" s="21">
        <v>30</v>
      </c>
      <c r="I398" s="21">
        <v>30</v>
      </c>
      <c r="J398" s="20"/>
      <c r="K398" s="22"/>
      <c r="L398" s="22"/>
      <c r="M398" s="22"/>
      <c r="N398" s="23"/>
    </row>
    <row r="399" spans="1:14" x14ac:dyDescent="0.25">
      <c r="A399" s="75"/>
      <c r="B399" s="78"/>
      <c r="C399" s="78"/>
      <c r="D399" s="20" t="s">
        <v>624</v>
      </c>
      <c r="E399" s="20"/>
      <c r="F399" s="21">
        <v>12267.5</v>
      </c>
      <c r="G399" s="21">
        <v>12267.5</v>
      </c>
      <c r="H399" s="21">
        <v>12267.5</v>
      </c>
      <c r="I399" s="21">
        <v>12267.5</v>
      </c>
      <c r="J399" s="20"/>
      <c r="K399" s="22"/>
      <c r="L399" s="22"/>
      <c r="M399" s="22"/>
      <c r="N399" s="23"/>
    </row>
    <row r="400" spans="1:14" x14ac:dyDescent="0.25">
      <c r="A400" s="75"/>
      <c r="B400" s="78"/>
      <c r="C400" s="78"/>
      <c r="D400" s="20" t="s">
        <v>123</v>
      </c>
      <c r="E400" s="20"/>
      <c r="F400" s="21">
        <v>15.2</v>
      </c>
      <c r="G400" s="21">
        <v>102.3</v>
      </c>
      <c r="H400" s="21"/>
      <c r="I400" s="21"/>
      <c r="J400" s="20"/>
      <c r="K400" s="22"/>
      <c r="L400" s="22"/>
      <c r="M400" s="22"/>
      <c r="N400" s="23"/>
    </row>
    <row r="401" spans="1:14" ht="15.75" thickBot="1" x14ac:dyDescent="0.3">
      <c r="A401" s="76"/>
      <c r="B401" s="79"/>
      <c r="C401" s="79"/>
      <c r="D401" s="20" t="s">
        <v>32</v>
      </c>
      <c r="E401" s="20"/>
      <c r="F401" s="21">
        <v>253.7</v>
      </c>
      <c r="G401" s="21">
        <v>253.7</v>
      </c>
      <c r="H401" s="21"/>
      <c r="I401" s="21"/>
      <c r="J401" s="20"/>
      <c r="K401" s="22"/>
      <c r="L401" s="22"/>
      <c r="M401" s="22"/>
      <c r="N401" s="23"/>
    </row>
    <row r="402" spans="1:14" ht="30.75" thickBot="1" x14ac:dyDescent="0.3">
      <c r="A402" s="24" t="s">
        <v>660</v>
      </c>
      <c r="B402" s="25" t="s">
        <v>661</v>
      </c>
      <c r="C402" s="16" t="s">
        <v>572</v>
      </c>
      <c r="D402" s="16" t="s">
        <v>34</v>
      </c>
      <c r="E402" s="16"/>
      <c r="F402" s="26">
        <v>390</v>
      </c>
      <c r="G402" s="26">
        <v>390</v>
      </c>
      <c r="H402" s="26">
        <v>390</v>
      </c>
      <c r="I402" s="26">
        <v>389.8</v>
      </c>
      <c r="J402" s="16" t="s">
        <v>662</v>
      </c>
      <c r="K402" s="18" t="s">
        <v>251</v>
      </c>
      <c r="L402" s="36">
        <v>1100</v>
      </c>
      <c r="M402" s="36">
        <v>1100</v>
      </c>
      <c r="N402" s="37">
        <v>1100</v>
      </c>
    </row>
    <row r="403" spans="1:14" ht="60.75" thickBot="1" x14ac:dyDescent="0.3">
      <c r="A403" s="24" t="s">
        <v>663</v>
      </c>
      <c r="B403" s="25" t="s">
        <v>664</v>
      </c>
      <c r="C403" s="16" t="s">
        <v>572</v>
      </c>
      <c r="D403" s="16" t="s">
        <v>34</v>
      </c>
      <c r="E403" s="16"/>
      <c r="F403" s="26">
        <v>246</v>
      </c>
      <c r="G403" s="26">
        <v>246</v>
      </c>
      <c r="H403" s="26">
        <v>246</v>
      </c>
      <c r="I403" s="26">
        <v>256</v>
      </c>
      <c r="J403" s="16" t="s">
        <v>665</v>
      </c>
      <c r="K403" s="18" t="s">
        <v>251</v>
      </c>
      <c r="L403" s="18">
        <v>310</v>
      </c>
      <c r="M403" s="18">
        <v>310</v>
      </c>
      <c r="N403" s="19">
        <v>310</v>
      </c>
    </row>
    <row r="404" spans="1:14" ht="24.75" customHeight="1" x14ac:dyDescent="0.25">
      <c r="A404" s="74" t="s">
        <v>666</v>
      </c>
      <c r="B404" s="77" t="s">
        <v>667</v>
      </c>
      <c r="C404" s="77" t="s">
        <v>572</v>
      </c>
      <c r="D404" s="16"/>
      <c r="E404" s="16"/>
      <c r="F404" s="17">
        <f>SUM(F405:F406)</f>
        <v>709.2</v>
      </c>
      <c r="G404" s="17">
        <f>SUM(G405:G406)</f>
        <v>741.6</v>
      </c>
      <c r="H404" s="17">
        <f>SUM(H405:H406)</f>
        <v>709.2</v>
      </c>
      <c r="I404" s="17">
        <f>SUM(I405:I406)</f>
        <v>709.2</v>
      </c>
      <c r="J404" s="16" t="s">
        <v>668</v>
      </c>
      <c r="K404" s="18" t="s">
        <v>251</v>
      </c>
      <c r="L404" s="18">
        <v>4</v>
      </c>
      <c r="M404" s="18">
        <v>4</v>
      </c>
      <c r="N404" s="19">
        <v>4</v>
      </c>
    </row>
    <row r="405" spans="1:14" x14ac:dyDescent="0.25">
      <c r="A405" s="75"/>
      <c r="B405" s="78"/>
      <c r="C405" s="78"/>
      <c r="D405" s="20" t="s">
        <v>624</v>
      </c>
      <c r="E405" s="20"/>
      <c r="F405" s="21">
        <v>709.2</v>
      </c>
      <c r="G405" s="21">
        <v>709.2</v>
      </c>
      <c r="H405" s="21">
        <v>709.2</v>
      </c>
      <c r="I405" s="21">
        <v>709.2</v>
      </c>
      <c r="J405" s="20"/>
      <c r="K405" s="22"/>
      <c r="L405" s="22"/>
      <c r="M405" s="22"/>
      <c r="N405" s="23"/>
    </row>
    <row r="406" spans="1:14" ht="15.75" thickBot="1" x14ac:dyDescent="0.3">
      <c r="A406" s="76"/>
      <c r="B406" s="79"/>
      <c r="C406" s="79"/>
      <c r="D406" s="20" t="s">
        <v>123</v>
      </c>
      <c r="E406" s="20"/>
      <c r="F406" s="21">
        <v>0</v>
      </c>
      <c r="G406" s="21">
        <v>32.4</v>
      </c>
      <c r="H406" s="21">
        <v>0</v>
      </c>
      <c r="I406" s="21">
        <v>0</v>
      </c>
      <c r="J406" s="20"/>
      <c r="K406" s="22"/>
      <c r="L406" s="22"/>
      <c r="M406" s="22"/>
      <c r="N406" s="23"/>
    </row>
    <row r="407" spans="1:14" ht="30.75" thickBot="1" x14ac:dyDescent="0.3">
      <c r="A407" s="24" t="s">
        <v>669</v>
      </c>
      <c r="B407" s="25" t="s">
        <v>670</v>
      </c>
      <c r="C407" s="16" t="s">
        <v>572</v>
      </c>
      <c r="D407" s="16" t="s">
        <v>34</v>
      </c>
      <c r="E407" s="16"/>
      <c r="F407" s="26">
        <v>119</v>
      </c>
      <c r="G407" s="26">
        <v>119</v>
      </c>
      <c r="H407" s="26">
        <v>119</v>
      </c>
      <c r="I407" s="26">
        <v>129</v>
      </c>
      <c r="J407" s="16" t="s">
        <v>671</v>
      </c>
      <c r="K407" s="18" t="s">
        <v>251</v>
      </c>
      <c r="L407" s="36">
        <v>1400</v>
      </c>
      <c r="M407" s="36">
        <v>1400</v>
      </c>
      <c r="N407" s="37">
        <v>1400</v>
      </c>
    </row>
    <row r="408" spans="1:14" ht="30.75" thickBot="1" x14ac:dyDescent="0.3">
      <c r="A408" s="24" t="s">
        <v>672</v>
      </c>
      <c r="B408" s="25" t="s">
        <v>673</v>
      </c>
      <c r="C408" s="16" t="s">
        <v>572</v>
      </c>
      <c r="D408" s="16" t="s">
        <v>34</v>
      </c>
      <c r="E408" s="16"/>
      <c r="F408" s="26">
        <v>300</v>
      </c>
      <c r="G408" s="26">
        <v>300</v>
      </c>
      <c r="H408" s="26">
        <v>300</v>
      </c>
      <c r="I408" s="26">
        <v>300</v>
      </c>
      <c r="J408" s="16" t="s">
        <v>674</v>
      </c>
      <c r="K408" s="18" t="s">
        <v>20</v>
      </c>
      <c r="L408" s="18">
        <v>100</v>
      </c>
      <c r="M408" s="18">
        <v>100</v>
      </c>
      <c r="N408" s="19">
        <v>100</v>
      </c>
    </row>
    <row r="409" spans="1:14" x14ac:dyDescent="0.25">
      <c r="A409" s="74" t="s">
        <v>675</v>
      </c>
      <c r="B409" s="77" t="s">
        <v>676</v>
      </c>
      <c r="C409" s="77" t="s">
        <v>572</v>
      </c>
      <c r="D409" s="16"/>
      <c r="E409" s="16"/>
      <c r="F409" s="17">
        <f>SUM(F410:F411)</f>
        <v>423.7</v>
      </c>
      <c r="G409" s="17">
        <f>SUM(G410:G411)</f>
        <v>459.3</v>
      </c>
      <c r="H409" s="17">
        <f>SUM(H410:H411)</f>
        <v>339.1</v>
      </c>
      <c r="I409" s="17">
        <f>SUM(I410:I411)</f>
        <v>356.1</v>
      </c>
      <c r="J409" s="16" t="s">
        <v>677</v>
      </c>
      <c r="K409" s="18" t="s">
        <v>251</v>
      </c>
      <c r="L409" s="18">
        <v>30</v>
      </c>
      <c r="M409" s="18">
        <v>30</v>
      </c>
      <c r="N409" s="19">
        <v>30</v>
      </c>
    </row>
    <row r="410" spans="1:14" x14ac:dyDescent="0.25">
      <c r="A410" s="75"/>
      <c r="B410" s="78"/>
      <c r="C410" s="78"/>
      <c r="D410" s="20" t="s">
        <v>32</v>
      </c>
      <c r="E410" s="20"/>
      <c r="F410" s="21">
        <v>100.7</v>
      </c>
      <c r="G410" s="21">
        <v>100.7</v>
      </c>
      <c r="H410" s="21">
        <v>0</v>
      </c>
      <c r="I410" s="21">
        <v>0</v>
      </c>
      <c r="J410" s="20" t="s">
        <v>678</v>
      </c>
      <c r="K410" s="22" t="s">
        <v>251</v>
      </c>
      <c r="L410" s="22">
        <v>27</v>
      </c>
      <c r="M410" s="22">
        <v>27</v>
      </c>
      <c r="N410" s="23">
        <v>27</v>
      </c>
    </row>
    <row r="411" spans="1:14" ht="15.75" thickBot="1" x14ac:dyDescent="0.3">
      <c r="A411" s="76"/>
      <c r="B411" s="79"/>
      <c r="C411" s="79"/>
      <c r="D411" s="20" t="s">
        <v>123</v>
      </c>
      <c r="E411" s="20"/>
      <c r="F411" s="21">
        <v>323</v>
      </c>
      <c r="G411" s="21">
        <v>358.6</v>
      </c>
      <c r="H411" s="21">
        <v>339.1</v>
      </c>
      <c r="I411" s="21">
        <v>356.1</v>
      </c>
      <c r="J411" s="20"/>
      <c r="K411" s="22"/>
      <c r="L411" s="22"/>
      <c r="M411" s="22"/>
      <c r="N411" s="23"/>
    </row>
    <row r="412" spans="1:14" ht="45.75" thickBot="1" x14ac:dyDescent="0.3">
      <c r="A412" s="24" t="s">
        <v>679</v>
      </c>
      <c r="B412" s="25" t="s">
        <v>680</v>
      </c>
      <c r="C412" s="16" t="s">
        <v>572</v>
      </c>
      <c r="D412" s="16" t="s">
        <v>34</v>
      </c>
      <c r="E412" s="16"/>
      <c r="F412" s="26">
        <v>138</v>
      </c>
      <c r="G412" s="26">
        <v>138</v>
      </c>
      <c r="H412" s="26">
        <v>138</v>
      </c>
      <c r="I412" s="26">
        <v>140</v>
      </c>
      <c r="J412" s="16" t="s">
        <v>681</v>
      </c>
      <c r="K412" s="18" t="s">
        <v>251</v>
      </c>
      <c r="L412" s="18">
        <v>30</v>
      </c>
      <c r="M412" s="18">
        <v>30</v>
      </c>
      <c r="N412" s="19">
        <v>30</v>
      </c>
    </row>
    <row r="413" spans="1:14" ht="30" x14ac:dyDescent="0.25">
      <c r="A413" s="74" t="s">
        <v>682</v>
      </c>
      <c r="B413" s="77" t="s">
        <v>683</v>
      </c>
      <c r="C413" s="77" t="s">
        <v>684</v>
      </c>
      <c r="D413" s="16"/>
      <c r="E413" s="16"/>
      <c r="F413" s="17">
        <f>SUM(F414:F415)</f>
        <v>59.5</v>
      </c>
      <c r="G413" s="17">
        <f>SUM(G414:G415)</f>
        <v>63</v>
      </c>
      <c r="H413" s="17">
        <f>SUM(H414:H415)</f>
        <v>39.799999999999997</v>
      </c>
      <c r="I413" s="17">
        <f>SUM(I414:I415)</f>
        <v>0</v>
      </c>
      <c r="J413" s="16" t="s">
        <v>685</v>
      </c>
      <c r="K413" s="18" t="s">
        <v>251</v>
      </c>
      <c r="L413" s="18">
        <v>2</v>
      </c>
      <c r="M413" s="18">
        <v>2</v>
      </c>
      <c r="N413" s="19"/>
    </row>
    <row r="414" spans="1:14" x14ac:dyDescent="0.25">
      <c r="A414" s="75"/>
      <c r="B414" s="78"/>
      <c r="C414" s="78"/>
      <c r="D414" s="20" t="s">
        <v>123</v>
      </c>
      <c r="E414" s="20"/>
      <c r="F414" s="21">
        <v>46.2</v>
      </c>
      <c r="G414" s="21">
        <v>49.7</v>
      </c>
      <c r="H414" s="21">
        <v>30.8</v>
      </c>
      <c r="I414" s="21">
        <v>0</v>
      </c>
      <c r="J414" s="20"/>
      <c r="K414" s="22"/>
      <c r="L414" s="22"/>
      <c r="M414" s="22"/>
      <c r="N414" s="23"/>
    </row>
    <row r="415" spans="1:14" ht="15.75" thickBot="1" x14ac:dyDescent="0.3">
      <c r="A415" s="76"/>
      <c r="B415" s="79"/>
      <c r="C415" s="79"/>
      <c r="D415" s="20" t="s">
        <v>34</v>
      </c>
      <c r="E415" s="20"/>
      <c r="F415" s="21">
        <v>13.3</v>
      </c>
      <c r="G415" s="21">
        <v>13.3</v>
      </c>
      <c r="H415" s="21">
        <v>9</v>
      </c>
      <c r="I415" s="21">
        <v>0</v>
      </c>
      <c r="J415" s="20"/>
      <c r="K415" s="22"/>
      <c r="L415" s="22"/>
      <c r="M415" s="22"/>
      <c r="N415" s="23"/>
    </row>
    <row r="416" spans="1:14" ht="30.75" thickBot="1" x14ac:dyDescent="0.3">
      <c r="A416" s="9" t="s">
        <v>686</v>
      </c>
      <c r="B416" s="86" t="s">
        <v>687</v>
      </c>
      <c r="C416" s="87"/>
      <c r="D416" s="87"/>
      <c r="E416" s="88"/>
      <c r="F416" s="10">
        <f>SUM(F417:F417)</f>
        <v>20163.400000000005</v>
      </c>
      <c r="G416" s="10">
        <f>SUM(G417:G417)</f>
        <v>20745.400000000005</v>
      </c>
      <c r="H416" s="10">
        <f>SUM(H417:H417)</f>
        <v>28737.4</v>
      </c>
      <c r="I416" s="10">
        <f>SUM(I417:I417)</f>
        <v>19907.400000000001</v>
      </c>
      <c r="J416" s="11" t="s">
        <v>688</v>
      </c>
      <c r="K416" s="12" t="s">
        <v>251</v>
      </c>
      <c r="L416" s="12">
        <v>40</v>
      </c>
      <c r="M416" s="12">
        <v>40</v>
      </c>
      <c r="N416" s="13">
        <v>30</v>
      </c>
    </row>
    <row r="417" spans="1:14" ht="26.25" customHeight="1" thickBot="1" x14ac:dyDescent="0.3">
      <c r="A417" s="14" t="s">
        <v>689</v>
      </c>
      <c r="B417" s="89" t="s">
        <v>690</v>
      </c>
      <c r="C417" s="90"/>
      <c r="D417" s="90"/>
      <c r="E417" s="91"/>
      <c r="F417" s="15">
        <f>F418+F420+F421+F426+F427+F428+F431+F434+F441+F444+F447+F450+F453+F457+F458+F459+F463+F466+F469+F475+F478+F481+F484</f>
        <v>20163.400000000005</v>
      </c>
      <c r="G417" s="15">
        <f>G418+G420+G421+G426+G427+G428+G431+G434+G441+G444+G447+G450+G453+G457+G458+G459+G463+G466+G469+G475+G478+G481+G484</f>
        <v>20745.400000000005</v>
      </c>
      <c r="H417" s="15">
        <f>H418+H420+H421+H426+H427+H428+H431+H434+H441+H444+H447+H450+H453+H457+H458+H459+H463+H466+H469+H475+H478+H481+H484</f>
        <v>28737.4</v>
      </c>
      <c r="I417" s="15">
        <f>I418+I420+I421+I426+I427+I428+I431+I434+I441+I444+I447+I450+I453+I457+I458+I459+I463+I466+I469+I475+I478+I481+I484</f>
        <v>19907.400000000001</v>
      </c>
      <c r="J417" s="71"/>
      <c r="K417" s="72"/>
      <c r="L417" s="72"/>
      <c r="M417" s="72"/>
      <c r="N417" s="73"/>
    </row>
    <row r="418" spans="1:14" ht="30" x14ac:dyDescent="0.25">
      <c r="A418" s="74" t="s">
        <v>691</v>
      </c>
      <c r="B418" s="77" t="s">
        <v>692</v>
      </c>
      <c r="C418" s="77" t="s">
        <v>693</v>
      </c>
      <c r="D418" s="16" t="s">
        <v>34</v>
      </c>
      <c r="E418" s="16" t="s">
        <v>600</v>
      </c>
      <c r="F418" s="17">
        <f>SUM(F419:F419)+306</f>
        <v>306</v>
      </c>
      <c r="G418" s="17">
        <f>SUM(G419:G419)+306</f>
        <v>306</v>
      </c>
      <c r="H418" s="17">
        <f>SUM(H419:H419)+599</f>
        <v>599</v>
      </c>
      <c r="I418" s="17">
        <f>SUM(I419:I419)+214.7</f>
        <v>214.7</v>
      </c>
      <c r="J418" s="16" t="s">
        <v>694</v>
      </c>
      <c r="K418" s="18" t="s">
        <v>20</v>
      </c>
      <c r="L418" s="18">
        <v>0</v>
      </c>
      <c r="M418" s="18">
        <v>60</v>
      </c>
      <c r="N418" s="19">
        <v>100</v>
      </c>
    </row>
    <row r="419" spans="1:14" ht="30.75" thickBot="1" x14ac:dyDescent="0.3">
      <c r="A419" s="76"/>
      <c r="B419" s="79"/>
      <c r="C419" s="79"/>
      <c r="D419" s="20"/>
      <c r="E419" s="20"/>
      <c r="F419" s="21">
        <v>0</v>
      </c>
      <c r="G419" s="21">
        <v>0</v>
      </c>
      <c r="H419" s="21">
        <v>0</v>
      </c>
      <c r="I419" s="21">
        <v>0</v>
      </c>
      <c r="J419" s="20" t="s">
        <v>695</v>
      </c>
      <c r="K419" s="22" t="s">
        <v>20</v>
      </c>
      <c r="L419" s="22">
        <v>25</v>
      </c>
      <c r="M419" s="22">
        <v>75</v>
      </c>
      <c r="N419" s="23">
        <v>100</v>
      </c>
    </row>
    <row r="420" spans="1:14" ht="30.75" thickBot="1" x14ac:dyDescent="0.3">
      <c r="A420" s="24" t="s">
        <v>696</v>
      </c>
      <c r="B420" s="25" t="s">
        <v>697</v>
      </c>
      <c r="C420" s="16" t="s">
        <v>698</v>
      </c>
      <c r="D420" s="16" t="s">
        <v>34</v>
      </c>
      <c r="E420" s="16" t="s">
        <v>600</v>
      </c>
      <c r="F420" s="26">
        <v>957.3</v>
      </c>
      <c r="G420" s="26">
        <v>957.3</v>
      </c>
      <c r="H420" s="26">
        <v>500</v>
      </c>
      <c r="I420" s="26">
        <v>0</v>
      </c>
      <c r="J420" s="16" t="s">
        <v>699</v>
      </c>
      <c r="K420" s="18" t="s">
        <v>20</v>
      </c>
      <c r="L420" s="18">
        <v>60</v>
      </c>
      <c r="M420" s="18">
        <v>100</v>
      </c>
      <c r="N420" s="19"/>
    </row>
    <row r="421" spans="1:14" ht="30" x14ac:dyDescent="0.25">
      <c r="A421" s="74" t="s">
        <v>700</v>
      </c>
      <c r="B421" s="77" t="s">
        <v>701</v>
      </c>
      <c r="C421" s="77" t="s">
        <v>698</v>
      </c>
      <c r="D421" s="16"/>
      <c r="E421" s="16" t="s">
        <v>600</v>
      </c>
      <c r="F421" s="17">
        <f>SUM(F422:F425)</f>
        <v>1638.2</v>
      </c>
      <c r="G421" s="17">
        <f>SUM(G422:G425)</f>
        <v>1870.2</v>
      </c>
      <c r="H421" s="17">
        <f>SUM(H422:H425)</f>
        <v>1200</v>
      </c>
      <c r="I421" s="17">
        <f>SUM(I422:I425)</f>
        <v>1200</v>
      </c>
      <c r="J421" s="16" t="s">
        <v>702</v>
      </c>
      <c r="K421" s="18" t="s">
        <v>20</v>
      </c>
      <c r="L421" s="18">
        <v>100</v>
      </c>
      <c r="M421" s="18">
        <v>0</v>
      </c>
      <c r="N421" s="19">
        <v>0</v>
      </c>
    </row>
    <row r="422" spans="1:14" x14ac:dyDescent="0.25">
      <c r="A422" s="75"/>
      <c r="B422" s="78"/>
      <c r="C422" s="78"/>
      <c r="D422" s="20" t="s">
        <v>34</v>
      </c>
      <c r="E422" s="20"/>
      <c r="F422" s="21">
        <v>700</v>
      </c>
      <c r="G422" s="21">
        <v>700</v>
      </c>
      <c r="H422" s="21">
        <v>1200</v>
      </c>
      <c r="I422" s="21">
        <v>1200</v>
      </c>
      <c r="J422" s="20" t="s">
        <v>703</v>
      </c>
      <c r="K422" s="22" t="s">
        <v>20</v>
      </c>
      <c r="L422" s="22">
        <v>0</v>
      </c>
      <c r="M422" s="22">
        <v>0</v>
      </c>
      <c r="N422" s="23">
        <v>100</v>
      </c>
    </row>
    <row r="423" spans="1:14" ht="30" x14ac:dyDescent="0.25">
      <c r="A423" s="75"/>
      <c r="B423" s="78"/>
      <c r="C423" s="78"/>
      <c r="D423" s="20" t="s">
        <v>149</v>
      </c>
      <c r="E423" s="20"/>
      <c r="F423" s="21">
        <v>500</v>
      </c>
      <c r="G423" s="21">
        <v>500</v>
      </c>
      <c r="H423" s="21">
        <v>0</v>
      </c>
      <c r="I423" s="21">
        <v>0</v>
      </c>
      <c r="J423" s="20" t="s">
        <v>704</v>
      </c>
      <c r="K423" s="22" t="s">
        <v>20</v>
      </c>
      <c r="L423" s="22">
        <v>0</v>
      </c>
      <c r="M423" s="22">
        <v>20</v>
      </c>
      <c r="N423" s="23">
        <v>0</v>
      </c>
    </row>
    <row r="424" spans="1:14" x14ac:dyDescent="0.25">
      <c r="A424" s="75"/>
      <c r="B424" s="78"/>
      <c r="C424" s="78"/>
      <c r="D424" s="20" t="s">
        <v>32</v>
      </c>
      <c r="E424" s="20"/>
      <c r="F424" s="21">
        <v>438.2</v>
      </c>
      <c r="G424" s="21">
        <v>438.2</v>
      </c>
      <c r="H424" s="21"/>
      <c r="I424" s="21"/>
      <c r="J424" s="20"/>
      <c r="K424" s="22"/>
      <c r="L424" s="22"/>
      <c r="M424" s="22"/>
      <c r="N424" s="23"/>
    </row>
    <row r="425" spans="1:14" ht="15.75" thickBot="1" x14ac:dyDescent="0.3">
      <c r="A425" s="76"/>
      <c r="B425" s="79"/>
      <c r="C425" s="79"/>
      <c r="D425" s="20" t="s">
        <v>123</v>
      </c>
      <c r="E425" s="20"/>
      <c r="F425" s="21"/>
      <c r="G425" s="21">
        <v>232</v>
      </c>
      <c r="H425" s="21"/>
      <c r="I425" s="21"/>
      <c r="J425" s="20"/>
      <c r="K425" s="22"/>
      <c r="L425" s="22"/>
      <c r="M425" s="22"/>
      <c r="N425" s="23"/>
    </row>
    <row r="426" spans="1:14" ht="30.75" thickBot="1" x14ac:dyDescent="0.3">
      <c r="A426" s="24" t="s">
        <v>705</v>
      </c>
      <c r="B426" s="25" t="s">
        <v>706</v>
      </c>
      <c r="C426" s="16" t="s">
        <v>698</v>
      </c>
      <c r="D426" s="16" t="s">
        <v>34</v>
      </c>
      <c r="E426" s="16"/>
      <c r="F426" s="26">
        <v>700</v>
      </c>
      <c r="G426" s="26">
        <v>700</v>
      </c>
      <c r="H426" s="26">
        <v>0</v>
      </c>
      <c r="I426" s="26">
        <v>0</v>
      </c>
      <c r="J426" s="16" t="s">
        <v>707</v>
      </c>
      <c r="K426" s="18" t="s">
        <v>20</v>
      </c>
      <c r="L426" s="18">
        <v>100</v>
      </c>
      <c r="M426" s="18">
        <v>0</v>
      </c>
      <c r="N426" s="19">
        <v>0</v>
      </c>
    </row>
    <row r="427" spans="1:14" ht="45.75" thickBot="1" x14ac:dyDescent="0.3">
      <c r="A427" s="24" t="s">
        <v>708</v>
      </c>
      <c r="B427" s="25" t="s">
        <v>709</v>
      </c>
      <c r="C427" s="16" t="s">
        <v>693</v>
      </c>
      <c r="D427" s="16" t="s">
        <v>32</v>
      </c>
      <c r="E427" s="16"/>
      <c r="F427" s="26">
        <v>40.200000000000003</v>
      </c>
      <c r="G427" s="26">
        <v>40.200000000000003</v>
      </c>
      <c r="H427" s="26">
        <v>0</v>
      </c>
      <c r="I427" s="26">
        <v>0</v>
      </c>
      <c r="J427" s="16" t="s">
        <v>710</v>
      </c>
      <c r="K427" s="18" t="s">
        <v>25</v>
      </c>
      <c r="L427" s="18">
        <v>1</v>
      </c>
      <c r="M427" s="18"/>
      <c r="N427" s="19"/>
    </row>
    <row r="428" spans="1:14" ht="90" x14ac:dyDescent="0.25">
      <c r="A428" s="74" t="s">
        <v>711</v>
      </c>
      <c r="B428" s="77" t="s">
        <v>712</v>
      </c>
      <c r="C428" s="77" t="s">
        <v>713</v>
      </c>
      <c r="D428" s="16"/>
      <c r="E428" s="16" t="s">
        <v>600</v>
      </c>
      <c r="F428" s="17">
        <f>SUM(F429:F430)</f>
        <v>1231.3</v>
      </c>
      <c r="G428" s="17">
        <f>SUM(G429:G430)</f>
        <v>1231.3</v>
      </c>
      <c r="H428" s="17">
        <f>SUM(H429:H430)</f>
        <v>1240</v>
      </c>
      <c r="I428" s="17">
        <f>SUM(I429:I430)</f>
        <v>1240</v>
      </c>
      <c r="J428" s="16" t="s">
        <v>714</v>
      </c>
      <c r="K428" s="18" t="s">
        <v>251</v>
      </c>
      <c r="L428" s="18">
        <v>15</v>
      </c>
      <c r="M428" s="18">
        <v>9</v>
      </c>
      <c r="N428" s="19">
        <v>9</v>
      </c>
    </row>
    <row r="429" spans="1:14" x14ac:dyDescent="0.25">
      <c r="A429" s="75"/>
      <c r="B429" s="78"/>
      <c r="C429" s="78"/>
      <c r="D429" s="20" t="s">
        <v>34</v>
      </c>
      <c r="E429" s="20"/>
      <c r="F429" s="21">
        <v>231.3</v>
      </c>
      <c r="G429" s="21">
        <v>231.3</v>
      </c>
      <c r="H429" s="21">
        <v>1240</v>
      </c>
      <c r="I429" s="21">
        <v>1240</v>
      </c>
      <c r="J429" s="20"/>
      <c r="K429" s="22"/>
      <c r="L429" s="22"/>
      <c r="M429" s="22"/>
      <c r="N429" s="23"/>
    </row>
    <row r="430" spans="1:14" ht="15.75" thickBot="1" x14ac:dyDescent="0.3">
      <c r="A430" s="76"/>
      <c r="B430" s="79"/>
      <c r="C430" s="79"/>
      <c r="D430" s="20" t="s">
        <v>149</v>
      </c>
      <c r="E430" s="20"/>
      <c r="F430" s="21">
        <v>1000</v>
      </c>
      <c r="G430" s="21">
        <v>1000</v>
      </c>
      <c r="H430" s="21">
        <v>0</v>
      </c>
      <c r="I430" s="21">
        <v>0</v>
      </c>
      <c r="J430" s="20"/>
      <c r="K430" s="22"/>
      <c r="L430" s="22"/>
      <c r="M430" s="22"/>
      <c r="N430" s="23"/>
    </row>
    <row r="431" spans="1:14" ht="41.25" customHeight="1" x14ac:dyDescent="0.25">
      <c r="A431" s="74" t="s">
        <v>715</v>
      </c>
      <c r="B431" s="77" t="s">
        <v>716</v>
      </c>
      <c r="C431" s="77" t="s">
        <v>572</v>
      </c>
      <c r="D431" s="16"/>
      <c r="E431" s="16" t="s">
        <v>600</v>
      </c>
      <c r="F431" s="17">
        <f>SUM(F432:F433)</f>
        <v>230</v>
      </c>
      <c r="G431" s="17">
        <f>SUM(G432:G433)</f>
        <v>258.2</v>
      </c>
      <c r="H431" s="17">
        <f>SUM(H432:H433)</f>
        <v>231</v>
      </c>
      <c r="I431" s="17">
        <f>SUM(I432:I433)</f>
        <v>231</v>
      </c>
      <c r="J431" s="16" t="s">
        <v>717</v>
      </c>
      <c r="K431" s="18" t="s">
        <v>251</v>
      </c>
      <c r="L431" s="18">
        <v>3</v>
      </c>
      <c r="M431" s="18">
        <v>1</v>
      </c>
      <c r="N431" s="19">
        <v>1</v>
      </c>
    </row>
    <row r="432" spans="1:14" ht="45" x14ac:dyDescent="0.25">
      <c r="A432" s="75"/>
      <c r="B432" s="78"/>
      <c r="C432" s="78"/>
      <c r="D432" s="20" t="s">
        <v>34</v>
      </c>
      <c r="E432" s="20"/>
      <c r="F432" s="21">
        <v>230</v>
      </c>
      <c r="G432" s="21">
        <v>230</v>
      </c>
      <c r="H432" s="21">
        <v>231</v>
      </c>
      <c r="I432" s="21">
        <v>231</v>
      </c>
      <c r="J432" s="20" t="s">
        <v>718</v>
      </c>
      <c r="K432" s="22" t="s">
        <v>251</v>
      </c>
      <c r="L432" s="22">
        <v>2</v>
      </c>
      <c r="M432" s="22">
        <v>1</v>
      </c>
      <c r="N432" s="23">
        <v>1</v>
      </c>
    </row>
    <row r="433" spans="1:14" ht="15.75" thickBot="1" x14ac:dyDescent="0.3">
      <c r="A433" s="76"/>
      <c r="B433" s="79"/>
      <c r="C433" s="79"/>
      <c r="D433" s="20" t="s">
        <v>32</v>
      </c>
      <c r="E433" s="20"/>
      <c r="F433" s="21"/>
      <c r="G433" s="21">
        <v>28.2</v>
      </c>
      <c r="H433" s="21"/>
      <c r="I433" s="21"/>
      <c r="J433" s="20"/>
      <c r="K433" s="22"/>
      <c r="L433" s="22"/>
      <c r="M433" s="22"/>
      <c r="N433" s="23"/>
    </row>
    <row r="434" spans="1:14" ht="45" x14ac:dyDescent="0.25">
      <c r="A434" s="74" t="s">
        <v>719</v>
      </c>
      <c r="B434" s="77" t="s">
        <v>720</v>
      </c>
      <c r="C434" s="77" t="s">
        <v>698</v>
      </c>
      <c r="D434" s="16"/>
      <c r="E434" s="16" t="s">
        <v>600</v>
      </c>
      <c r="F434" s="17">
        <f>SUM(F435:F440)</f>
        <v>3404.2</v>
      </c>
      <c r="G434" s="17">
        <f>SUM(G435:G440)</f>
        <v>3361</v>
      </c>
      <c r="H434" s="17">
        <f>SUM(H435:H440)</f>
        <v>3150</v>
      </c>
      <c r="I434" s="17">
        <f>SUM(I435:I440)</f>
        <v>3150</v>
      </c>
      <c r="J434" s="16" t="s">
        <v>721</v>
      </c>
      <c r="K434" s="18" t="s">
        <v>251</v>
      </c>
      <c r="L434" s="18">
        <v>2</v>
      </c>
      <c r="M434" s="18">
        <v>1</v>
      </c>
      <c r="N434" s="19">
        <v>1</v>
      </c>
    </row>
    <row r="435" spans="1:14" ht="41.25" customHeight="1" x14ac:dyDescent="0.25">
      <c r="A435" s="75"/>
      <c r="B435" s="78"/>
      <c r="C435" s="78"/>
      <c r="D435" s="20" t="s">
        <v>34</v>
      </c>
      <c r="E435" s="20"/>
      <c r="F435" s="21">
        <v>0</v>
      </c>
      <c r="G435" s="21">
        <v>0</v>
      </c>
      <c r="H435" s="21">
        <v>3150</v>
      </c>
      <c r="I435" s="21">
        <v>3150</v>
      </c>
      <c r="J435" s="20" t="s">
        <v>722</v>
      </c>
      <c r="K435" s="22" t="s">
        <v>251</v>
      </c>
      <c r="L435" s="22">
        <v>1</v>
      </c>
      <c r="M435" s="22">
        <v>1</v>
      </c>
      <c r="N435" s="23">
        <v>1</v>
      </c>
    </row>
    <row r="436" spans="1:14" ht="30" x14ac:dyDescent="0.25">
      <c r="A436" s="75"/>
      <c r="B436" s="78"/>
      <c r="C436" s="78"/>
      <c r="D436" s="20" t="s">
        <v>32</v>
      </c>
      <c r="E436" s="20"/>
      <c r="F436" s="21">
        <v>2654.2</v>
      </c>
      <c r="G436" s="21">
        <v>2611</v>
      </c>
      <c r="H436" s="21">
        <v>0</v>
      </c>
      <c r="I436" s="21">
        <v>0</v>
      </c>
      <c r="J436" s="20" t="s">
        <v>723</v>
      </c>
      <c r="K436" s="22" t="s">
        <v>251</v>
      </c>
      <c r="L436" s="22">
        <v>1</v>
      </c>
      <c r="M436" s="22">
        <v>0</v>
      </c>
      <c r="N436" s="23">
        <v>0</v>
      </c>
    </row>
    <row r="437" spans="1:14" ht="105" x14ac:dyDescent="0.25">
      <c r="A437" s="75"/>
      <c r="B437" s="78"/>
      <c r="C437" s="78"/>
      <c r="D437" s="20" t="s">
        <v>149</v>
      </c>
      <c r="E437" s="20"/>
      <c r="F437" s="21">
        <v>750</v>
      </c>
      <c r="G437" s="21">
        <v>750</v>
      </c>
      <c r="H437" s="21">
        <v>0</v>
      </c>
      <c r="I437" s="21">
        <v>0</v>
      </c>
      <c r="J437" s="20" t="s">
        <v>724</v>
      </c>
      <c r="K437" s="22" t="s">
        <v>251</v>
      </c>
      <c r="L437" s="22">
        <v>11</v>
      </c>
      <c r="M437" s="22">
        <v>3</v>
      </c>
      <c r="N437" s="23">
        <v>4</v>
      </c>
    </row>
    <row r="438" spans="1:14" ht="60" x14ac:dyDescent="0.25">
      <c r="A438" s="75"/>
      <c r="B438" s="78"/>
      <c r="C438" s="78"/>
      <c r="D438" s="20"/>
      <c r="E438" s="20"/>
      <c r="F438" s="21">
        <v>0</v>
      </c>
      <c r="G438" s="21">
        <v>0</v>
      </c>
      <c r="H438" s="21">
        <v>0</v>
      </c>
      <c r="I438" s="21">
        <v>0</v>
      </c>
      <c r="J438" s="20" t="s">
        <v>725</v>
      </c>
      <c r="K438" s="22" t="s">
        <v>251</v>
      </c>
      <c r="L438" s="22">
        <v>6</v>
      </c>
      <c r="M438" s="22">
        <v>2</v>
      </c>
      <c r="N438" s="23">
        <v>1</v>
      </c>
    </row>
    <row r="439" spans="1:14" ht="60" x14ac:dyDescent="0.25">
      <c r="A439" s="75"/>
      <c r="B439" s="78"/>
      <c r="C439" s="78"/>
      <c r="D439" s="20"/>
      <c r="E439" s="20"/>
      <c r="F439" s="21">
        <v>0</v>
      </c>
      <c r="G439" s="21">
        <v>0</v>
      </c>
      <c r="H439" s="21">
        <v>0</v>
      </c>
      <c r="I439" s="21">
        <v>0</v>
      </c>
      <c r="J439" s="20" t="s">
        <v>726</v>
      </c>
      <c r="K439" s="22" t="s">
        <v>251</v>
      </c>
      <c r="L439" s="22">
        <v>4</v>
      </c>
      <c r="M439" s="22">
        <v>1</v>
      </c>
      <c r="N439" s="23">
        <v>1</v>
      </c>
    </row>
    <row r="440" spans="1:14" ht="60.75" thickBot="1" x14ac:dyDescent="0.3">
      <c r="A440" s="76"/>
      <c r="B440" s="79"/>
      <c r="C440" s="79"/>
      <c r="D440" s="20"/>
      <c r="E440" s="20"/>
      <c r="F440" s="21">
        <v>0</v>
      </c>
      <c r="G440" s="21">
        <v>0</v>
      </c>
      <c r="H440" s="21">
        <v>0</v>
      </c>
      <c r="I440" s="21">
        <v>0</v>
      </c>
      <c r="J440" s="20" t="s">
        <v>727</v>
      </c>
      <c r="K440" s="22" t="s">
        <v>25</v>
      </c>
      <c r="L440" s="22">
        <v>4</v>
      </c>
      <c r="M440" s="22">
        <v>1</v>
      </c>
      <c r="N440" s="23">
        <v>3</v>
      </c>
    </row>
    <row r="441" spans="1:14" ht="15.75" customHeight="1" x14ac:dyDescent="0.25">
      <c r="A441" s="74" t="s">
        <v>728</v>
      </c>
      <c r="B441" s="77" t="s">
        <v>729</v>
      </c>
      <c r="C441" s="77" t="s">
        <v>698</v>
      </c>
      <c r="D441" s="16"/>
      <c r="E441" s="16" t="s">
        <v>600</v>
      </c>
      <c r="F441" s="17">
        <f>SUM(F442:F443)</f>
        <v>1479.5</v>
      </c>
      <c r="G441" s="17">
        <f>SUM(G442:G443)</f>
        <v>1479.5</v>
      </c>
      <c r="H441" s="17">
        <f>SUM(H442:H443)</f>
        <v>0</v>
      </c>
      <c r="I441" s="17">
        <f>SUM(I442:I443)</f>
        <v>0</v>
      </c>
      <c r="J441" s="16" t="s">
        <v>730</v>
      </c>
      <c r="K441" s="18" t="s">
        <v>20</v>
      </c>
      <c r="L441" s="18">
        <v>100</v>
      </c>
      <c r="M441" s="18">
        <v>0</v>
      </c>
      <c r="N441" s="19">
        <v>0</v>
      </c>
    </row>
    <row r="442" spans="1:14" x14ac:dyDescent="0.25">
      <c r="A442" s="75"/>
      <c r="B442" s="78"/>
      <c r="C442" s="78"/>
      <c r="D442" s="20" t="s">
        <v>32</v>
      </c>
      <c r="E442" s="20"/>
      <c r="F442" s="21">
        <v>579.5</v>
      </c>
      <c r="G442" s="21">
        <v>579.5</v>
      </c>
      <c r="H442" s="21">
        <v>0</v>
      </c>
      <c r="I442" s="21">
        <v>0</v>
      </c>
      <c r="J442" s="20"/>
      <c r="K442" s="22"/>
      <c r="L442" s="22"/>
      <c r="M442" s="22"/>
      <c r="N442" s="23"/>
    </row>
    <row r="443" spans="1:14" ht="15.75" thickBot="1" x14ac:dyDescent="0.3">
      <c r="A443" s="76"/>
      <c r="B443" s="79"/>
      <c r="C443" s="79"/>
      <c r="D443" s="20" t="s">
        <v>34</v>
      </c>
      <c r="E443" s="20"/>
      <c r="F443" s="21">
        <v>900</v>
      </c>
      <c r="G443" s="21">
        <v>900</v>
      </c>
      <c r="H443" s="21">
        <v>0</v>
      </c>
      <c r="I443" s="21">
        <v>0</v>
      </c>
      <c r="J443" s="20"/>
      <c r="K443" s="22"/>
      <c r="L443" s="22"/>
      <c r="M443" s="22"/>
      <c r="N443" s="23"/>
    </row>
    <row r="444" spans="1:14" ht="34.5" customHeight="1" x14ac:dyDescent="0.25">
      <c r="A444" s="74" t="s">
        <v>731</v>
      </c>
      <c r="B444" s="77" t="s">
        <v>732</v>
      </c>
      <c r="C444" s="77" t="s">
        <v>733</v>
      </c>
      <c r="D444" s="16"/>
      <c r="E444" s="16"/>
      <c r="F444" s="17">
        <f>SUM(F445:F446)</f>
        <v>15.6</v>
      </c>
      <c r="G444" s="17">
        <f>SUM(G445:G446)</f>
        <v>15.6</v>
      </c>
      <c r="H444" s="17">
        <f>SUM(H445:H446)</f>
        <v>0</v>
      </c>
      <c r="I444" s="17">
        <f>SUM(I445:I446)</f>
        <v>0</v>
      </c>
      <c r="J444" s="16" t="s">
        <v>204</v>
      </c>
      <c r="K444" s="18" t="s">
        <v>25</v>
      </c>
      <c r="L444" s="18">
        <v>1</v>
      </c>
      <c r="M444" s="18"/>
      <c r="N444" s="19"/>
    </row>
    <row r="445" spans="1:14" x14ac:dyDescent="0.25">
      <c r="A445" s="75"/>
      <c r="B445" s="78"/>
      <c r="C445" s="78"/>
      <c r="D445" s="20" t="s">
        <v>123</v>
      </c>
      <c r="E445" s="20"/>
      <c r="F445" s="21">
        <v>1.2</v>
      </c>
      <c r="G445" s="21">
        <v>1.2</v>
      </c>
      <c r="H445" s="21">
        <v>0</v>
      </c>
      <c r="I445" s="21">
        <v>0</v>
      </c>
      <c r="J445" s="20"/>
      <c r="K445" s="22"/>
      <c r="L445" s="22"/>
      <c r="M445" s="22"/>
      <c r="N445" s="23"/>
    </row>
    <row r="446" spans="1:14" ht="15.75" thickBot="1" x14ac:dyDescent="0.3">
      <c r="A446" s="76"/>
      <c r="B446" s="79"/>
      <c r="C446" s="79"/>
      <c r="D446" s="20" t="s">
        <v>323</v>
      </c>
      <c r="E446" s="20"/>
      <c r="F446" s="21">
        <v>14.4</v>
      </c>
      <c r="G446" s="21">
        <v>14.4</v>
      </c>
      <c r="H446" s="21">
        <v>0</v>
      </c>
      <c r="I446" s="21">
        <v>0</v>
      </c>
      <c r="J446" s="20"/>
      <c r="K446" s="22"/>
      <c r="L446" s="22"/>
      <c r="M446" s="22"/>
      <c r="N446" s="23"/>
    </row>
    <row r="447" spans="1:14" ht="30" x14ac:dyDescent="0.25">
      <c r="A447" s="74" t="s">
        <v>734</v>
      </c>
      <c r="B447" s="77" t="s">
        <v>735</v>
      </c>
      <c r="C447" s="77" t="s">
        <v>733</v>
      </c>
      <c r="D447" s="16"/>
      <c r="E447" s="16"/>
      <c r="F447" s="17">
        <f>SUM(F448:F449)</f>
        <v>25.4</v>
      </c>
      <c r="G447" s="17">
        <f>SUM(G448:G449)</f>
        <v>25.4</v>
      </c>
      <c r="H447" s="17">
        <f>SUM(H448:H449)</f>
        <v>0</v>
      </c>
      <c r="I447" s="17">
        <f>SUM(I448:I449)</f>
        <v>0</v>
      </c>
      <c r="J447" s="16" t="s">
        <v>204</v>
      </c>
      <c r="K447" s="18" t="s">
        <v>25</v>
      </c>
      <c r="L447" s="18">
        <v>1</v>
      </c>
      <c r="M447" s="18"/>
      <c r="N447" s="19"/>
    </row>
    <row r="448" spans="1:14" x14ac:dyDescent="0.25">
      <c r="A448" s="75"/>
      <c r="B448" s="78"/>
      <c r="C448" s="78"/>
      <c r="D448" s="20" t="s">
        <v>123</v>
      </c>
      <c r="E448" s="20"/>
      <c r="F448" s="21">
        <v>2.2000000000000002</v>
      </c>
      <c r="G448" s="21">
        <v>2.2000000000000002</v>
      </c>
      <c r="H448" s="21">
        <v>0</v>
      </c>
      <c r="I448" s="21">
        <v>0</v>
      </c>
      <c r="J448" s="20"/>
      <c r="K448" s="22"/>
      <c r="L448" s="22"/>
      <c r="M448" s="22"/>
      <c r="N448" s="23"/>
    </row>
    <row r="449" spans="1:14" ht="15.75" thickBot="1" x14ac:dyDescent="0.3">
      <c r="A449" s="76"/>
      <c r="B449" s="79"/>
      <c r="C449" s="79"/>
      <c r="D449" s="20" t="s">
        <v>323</v>
      </c>
      <c r="E449" s="20"/>
      <c r="F449" s="21">
        <v>23.2</v>
      </c>
      <c r="G449" s="21">
        <v>23.2</v>
      </c>
      <c r="H449" s="21">
        <v>0</v>
      </c>
      <c r="I449" s="21">
        <v>0</v>
      </c>
      <c r="J449" s="20"/>
      <c r="K449" s="22"/>
      <c r="L449" s="22"/>
      <c r="M449" s="22"/>
      <c r="N449" s="23"/>
    </row>
    <row r="450" spans="1:14" ht="30" x14ac:dyDescent="0.25">
      <c r="A450" s="74" t="s">
        <v>736</v>
      </c>
      <c r="B450" s="77" t="s">
        <v>737</v>
      </c>
      <c r="C450" s="77" t="s">
        <v>738</v>
      </c>
      <c r="D450" s="16"/>
      <c r="E450" s="16"/>
      <c r="F450" s="17">
        <f>SUM(F451:F452)</f>
        <v>970</v>
      </c>
      <c r="G450" s="17">
        <f>SUM(G451:G452)</f>
        <v>985</v>
      </c>
      <c r="H450" s="17">
        <f>SUM(H451:H452)</f>
        <v>1300</v>
      </c>
      <c r="I450" s="17">
        <f>SUM(I451:I452)</f>
        <v>1300</v>
      </c>
      <c r="J450" s="16" t="s">
        <v>739</v>
      </c>
      <c r="K450" s="18" t="s">
        <v>251</v>
      </c>
      <c r="L450" s="18">
        <v>4</v>
      </c>
      <c r="M450" s="18">
        <v>1</v>
      </c>
      <c r="N450" s="19">
        <v>1</v>
      </c>
    </row>
    <row r="451" spans="1:14" ht="30" x14ac:dyDescent="0.25">
      <c r="A451" s="75"/>
      <c r="B451" s="78"/>
      <c r="C451" s="78"/>
      <c r="D451" s="20" t="s">
        <v>34</v>
      </c>
      <c r="E451" s="20"/>
      <c r="F451" s="21">
        <v>0</v>
      </c>
      <c r="G451" s="21">
        <v>0</v>
      </c>
      <c r="H451" s="21">
        <v>1300</v>
      </c>
      <c r="I451" s="21">
        <v>1300</v>
      </c>
      <c r="J451" s="20" t="s">
        <v>740</v>
      </c>
      <c r="K451" s="22" t="s">
        <v>251</v>
      </c>
      <c r="L451" s="22">
        <v>24</v>
      </c>
      <c r="M451" s="22"/>
      <c r="N451" s="23"/>
    </row>
    <row r="452" spans="1:14" ht="15.75" thickBot="1" x14ac:dyDescent="0.3">
      <c r="A452" s="76"/>
      <c r="B452" s="79"/>
      <c r="C452" s="79"/>
      <c r="D452" s="20" t="s">
        <v>32</v>
      </c>
      <c r="E452" s="20"/>
      <c r="F452" s="21">
        <v>970</v>
      </c>
      <c r="G452" s="21">
        <v>985</v>
      </c>
      <c r="H452" s="21"/>
      <c r="I452" s="21"/>
      <c r="J452" s="20"/>
      <c r="K452" s="22"/>
      <c r="L452" s="22"/>
      <c r="M452" s="22"/>
      <c r="N452" s="23"/>
    </row>
    <row r="453" spans="1:14" ht="30" x14ac:dyDescent="0.25">
      <c r="A453" s="74" t="s">
        <v>741</v>
      </c>
      <c r="B453" s="77" t="s">
        <v>742</v>
      </c>
      <c r="C453" s="77" t="s">
        <v>743</v>
      </c>
      <c r="D453" s="16"/>
      <c r="E453" s="16"/>
      <c r="F453" s="17">
        <f>SUM(F454:F456)</f>
        <v>2767.1</v>
      </c>
      <c r="G453" s="17">
        <f>SUM(G454:G456)</f>
        <v>3117.1000000000004</v>
      </c>
      <c r="H453" s="17">
        <f>SUM(H454:H456)</f>
        <v>435.4</v>
      </c>
      <c r="I453" s="17">
        <f>SUM(I454:I456)</f>
        <v>0</v>
      </c>
      <c r="J453" s="16" t="s">
        <v>744</v>
      </c>
      <c r="K453" s="18" t="s">
        <v>25</v>
      </c>
      <c r="L453" s="18">
        <v>2</v>
      </c>
      <c r="M453" s="18">
        <v>1</v>
      </c>
      <c r="N453" s="19"/>
    </row>
    <row r="454" spans="1:14" x14ac:dyDescent="0.25">
      <c r="A454" s="75"/>
      <c r="B454" s="78"/>
      <c r="C454" s="78"/>
      <c r="D454" s="20" t="s">
        <v>34</v>
      </c>
      <c r="E454" s="20"/>
      <c r="F454" s="21">
        <v>532.9</v>
      </c>
      <c r="G454" s="21">
        <v>532.9</v>
      </c>
      <c r="H454" s="21">
        <v>435.4</v>
      </c>
      <c r="I454" s="21">
        <v>0</v>
      </c>
      <c r="J454" s="20"/>
      <c r="K454" s="22"/>
      <c r="L454" s="22"/>
      <c r="M454" s="22"/>
      <c r="N454" s="23"/>
    </row>
    <row r="455" spans="1:14" x14ac:dyDescent="0.25">
      <c r="A455" s="75"/>
      <c r="B455" s="78"/>
      <c r="C455" s="78"/>
      <c r="D455" s="20" t="s">
        <v>149</v>
      </c>
      <c r="E455" s="20"/>
      <c r="F455" s="21">
        <v>1850</v>
      </c>
      <c r="G455" s="21">
        <v>1850</v>
      </c>
      <c r="H455" s="21">
        <v>0</v>
      </c>
      <c r="I455" s="21">
        <v>0</v>
      </c>
      <c r="J455" s="20"/>
      <c r="K455" s="22"/>
      <c r="L455" s="22"/>
      <c r="M455" s="22"/>
      <c r="N455" s="23"/>
    </row>
    <row r="456" spans="1:14" ht="15.75" thickBot="1" x14ac:dyDescent="0.3">
      <c r="A456" s="76"/>
      <c r="B456" s="79"/>
      <c r="C456" s="79"/>
      <c r="D456" s="20" t="s">
        <v>32</v>
      </c>
      <c r="E456" s="20"/>
      <c r="F456" s="21">
        <v>384.2</v>
      </c>
      <c r="G456" s="21">
        <v>734.2</v>
      </c>
      <c r="H456" s="21">
        <v>0</v>
      </c>
      <c r="I456" s="21">
        <v>0</v>
      </c>
      <c r="J456" s="20"/>
      <c r="K456" s="22"/>
      <c r="L456" s="22"/>
      <c r="M456" s="22"/>
      <c r="N456" s="23"/>
    </row>
    <row r="457" spans="1:14" ht="45.75" thickBot="1" x14ac:dyDescent="0.3">
      <c r="A457" s="24" t="s">
        <v>745</v>
      </c>
      <c r="B457" s="25" t="s">
        <v>746</v>
      </c>
      <c r="C457" s="16" t="s">
        <v>713</v>
      </c>
      <c r="D457" s="16" t="s">
        <v>34</v>
      </c>
      <c r="E457" s="16"/>
      <c r="F457" s="26">
        <v>100</v>
      </c>
      <c r="G457" s="26">
        <v>100</v>
      </c>
      <c r="H457" s="26">
        <v>100</v>
      </c>
      <c r="I457" s="26">
        <v>100</v>
      </c>
      <c r="J457" s="16" t="s">
        <v>747</v>
      </c>
      <c r="K457" s="18" t="s">
        <v>20</v>
      </c>
      <c r="L457" s="18">
        <v>100</v>
      </c>
      <c r="M457" s="18">
        <v>100</v>
      </c>
      <c r="N457" s="19">
        <v>100</v>
      </c>
    </row>
    <row r="458" spans="1:14" ht="91.5" customHeight="1" thickBot="1" x14ac:dyDescent="0.3">
      <c r="A458" s="24" t="s">
        <v>748</v>
      </c>
      <c r="B458" s="25" t="s">
        <v>749</v>
      </c>
      <c r="C458" s="16" t="s">
        <v>572</v>
      </c>
      <c r="D458" s="16" t="s">
        <v>34</v>
      </c>
      <c r="E458" s="16" t="s">
        <v>600</v>
      </c>
      <c r="F458" s="26">
        <v>2218</v>
      </c>
      <c r="G458" s="26">
        <v>2218</v>
      </c>
      <c r="H458" s="26">
        <v>840</v>
      </c>
      <c r="I458" s="26">
        <v>840</v>
      </c>
      <c r="J458" s="16" t="s">
        <v>750</v>
      </c>
      <c r="K458" s="18" t="s">
        <v>251</v>
      </c>
      <c r="L458" s="18">
        <v>12</v>
      </c>
      <c r="M458" s="18">
        <v>2</v>
      </c>
      <c r="N458" s="19">
        <v>2</v>
      </c>
    </row>
    <row r="459" spans="1:14" x14ac:dyDescent="0.25">
      <c r="A459" s="74" t="s">
        <v>751</v>
      </c>
      <c r="B459" s="77" t="s">
        <v>752</v>
      </c>
      <c r="C459" s="77" t="s">
        <v>753</v>
      </c>
      <c r="D459" s="16"/>
      <c r="E459" s="16" t="s">
        <v>600</v>
      </c>
      <c r="F459" s="17">
        <f>SUM(F460:F462)</f>
        <v>272</v>
      </c>
      <c r="G459" s="17">
        <f>SUM(G460:G462)</f>
        <v>272</v>
      </c>
      <c r="H459" s="17">
        <f>SUM(H460:H462)</f>
        <v>5250</v>
      </c>
      <c r="I459" s="17">
        <f>SUM(I460:I462)</f>
        <v>4675.7</v>
      </c>
      <c r="J459" s="16" t="s">
        <v>754</v>
      </c>
      <c r="K459" s="18" t="s">
        <v>25</v>
      </c>
      <c r="L459" s="18">
        <v>1</v>
      </c>
      <c r="M459" s="18"/>
      <c r="N459" s="19"/>
    </row>
    <row r="460" spans="1:14" x14ac:dyDescent="0.25">
      <c r="A460" s="75"/>
      <c r="B460" s="78"/>
      <c r="C460" s="78"/>
      <c r="D460" s="20" t="s">
        <v>323</v>
      </c>
      <c r="E460" s="20"/>
      <c r="F460" s="21">
        <v>150</v>
      </c>
      <c r="G460" s="21">
        <v>150</v>
      </c>
      <c r="H460" s="21">
        <v>3500</v>
      </c>
      <c r="I460" s="21">
        <v>3500.7</v>
      </c>
      <c r="J460" s="20" t="s">
        <v>326</v>
      </c>
      <c r="K460" s="22" t="s">
        <v>20</v>
      </c>
      <c r="L460" s="22">
        <v>15</v>
      </c>
      <c r="M460" s="22">
        <v>50</v>
      </c>
      <c r="N460" s="23">
        <v>100</v>
      </c>
    </row>
    <row r="461" spans="1:14" x14ac:dyDescent="0.25">
      <c r="A461" s="75"/>
      <c r="B461" s="78"/>
      <c r="C461" s="78"/>
      <c r="D461" s="20" t="s">
        <v>34</v>
      </c>
      <c r="E461" s="20"/>
      <c r="F461" s="21">
        <v>30</v>
      </c>
      <c r="G461" s="21">
        <v>30</v>
      </c>
      <c r="H461" s="21">
        <v>1750</v>
      </c>
      <c r="I461" s="21">
        <v>1175</v>
      </c>
      <c r="J461" s="20"/>
      <c r="K461" s="22"/>
      <c r="L461" s="22"/>
      <c r="M461" s="22"/>
      <c r="N461" s="23"/>
    </row>
    <row r="462" spans="1:14" ht="15.75" thickBot="1" x14ac:dyDescent="0.3">
      <c r="A462" s="76"/>
      <c r="B462" s="79"/>
      <c r="C462" s="79"/>
      <c r="D462" s="20" t="s">
        <v>32</v>
      </c>
      <c r="E462" s="20"/>
      <c r="F462" s="21">
        <v>92</v>
      </c>
      <c r="G462" s="21">
        <v>92</v>
      </c>
      <c r="H462" s="21"/>
      <c r="I462" s="21"/>
      <c r="J462" s="20"/>
      <c r="K462" s="22"/>
      <c r="L462" s="22"/>
      <c r="M462" s="22"/>
      <c r="N462" s="23"/>
    </row>
    <row r="463" spans="1:14" ht="25.5" customHeight="1" x14ac:dyDescent="0.25">
      <c r="A463" s="74" t="s">
        <v>755</v>
      </c>
      <c r="B463" s="77" t="s">
        <v>756</v>
      </c>
      <c r="C463" s="77" t="s">
        <v>693</v>
      </c>
      <c r="D463" s="16"/>
      <c r="E463" s="16" t="s">
        <v>600</v>
      </c>
      <c r="F463" s="17">
        <f>SUM(F464:F465)</f>
        <v>377</v>
      </c>
      <c r="G463" s="17">
        <f>SUM(G464:G465)</f>
        <v>377</v>
      </c>
      <c r="H463" s="17">
        <f>SUM(H464:H465)</f>
        <v>805</v>
      </c>
      <c r="I463" s="17">
        <f>SUM(I464:I465)</f>
        <v>650</v>
      </c>
      <c r="J463" s="16" t="s">
        <v>326</v>
      </c>
      <c r="K463" s="18" t="s">
        <v>20</v>
      </c>
      <c r="L463" s="18">
        <v>10</v>
      </c>
      <c r="M463" s="18">
        <v>50</v>
      </c>
      <c r="N463" s="19">
        <v>100</v>
      </c>
    </row>
    <row r="464" spans="1:14" x14ac:dyDescent="0.25">
      <c r="A464" s="75"/>
      <c r="B464" s="78"/>
      <c r="C464" s="78"/>
      <c r="D464" s="20" t="s">
        <v>34</v>
      </c>
      <c r="E464" s="20"/>
      <c r="F464" s="21">
        <v>77</v>
      </c>
      <c r="G464" s="21">
        <v>77</v>
      </c>
      <c r="H464" s="21">
        <v>105</v>
      </c>
      <c r="I464" s="21">
        <v>150</v>
      </c>
      <c r="J464" s="20" t="s">
        <v>757</v>
      </c>
      <c r="K464" s="22" t="s">
        <v>209</v>
      </c>
      <c r="L464" s="22">
        <v>2</v>
      </c>
      <c r="M464" s="22">
        <v>4</v>
      </c>
      <c r="N464" s="23">
        <v>4</v>
      </c>
    </row>
    <row r="465" spans="1:14" ht="15.75" thickBot="1" x14ac:dyDescent="0.3">
      <c r="A465" s="76"/>
      <c r="B465" s="79"/>
      <c r="C465" s="79"/>
      <c r="D465" s="20" t="s">
        <v>323</v>
      </c>
      <c r="E465" s="20"/>
      <c r="F465" s="21">
        <v>300</v>
      </c>
      <c r="G465" s="21">
        <v>300</v>
      </c>
      <c r="H465" s="21">
        <v>700</v>
      </c>
      <c r="I465" s="21">
        <v>500</v>
      </c>
      <c r="J465" s="20"/>
      <c r="K465" s="22"/>
      <c r="L465" s="22"/>
      <c r="M465" s="22"/>
      <c r="N465" s="23"/>
    </row>
    <row r="466" spans="1:14" ht="25.5" customHeight="1" x14ac:dyDescent="0.25">
      <c r="A466" s="74" t="s">
        <v>758</v>
      </c>
      <c r="B466" s="77" t="s">
        <v>759</v>
      </c>
      <c r="C466" s="77" t="s">
        <v>693</v>
      </c>
      <c r="D466" s="16"/>
      <c r="E466" s="16" t="s">
        <v>600</v>
      </c>
      <c r="F466" s="17">
        <f>SUM(F467:F468)</f>
        <v>502.7</v>
      </c>
      <c r="G466" s="17">
        <f>SUM(G467:G468)</f>
        <v>502.7</v>
      </c>
      <c r="H466" s="17">
        <f>SUM(H467:H468)</f>
        <v>1435</v>
      </c>
      <c r="I466" s="17">
        <f>SUM(I467:I468)</f>
        <v>965</v>
      </c>
      <c r="J466" s="16" t="s">
        <v>326</v>
      </c>
      <c r="K466" s="18" t="s">
        <v>20</v>
      </c>
      <c r="L466" s="18">
        <v>15</v>
      </c>
      <c r="M466" s="18">
        <v>85</v>
      </c>
      <c r="N466" s="19">
        <v>100</v>
      </c>
    </row>
    <row r="467" spans="1:14" x14ac:dyDescent="0.25">
      <c r="A467" s="75"/>
      <c r="B467" s="78"/>
      <c r="C467" s="78"/>
      <c r="D467" s="20" t="s">
        <v>323</v>
      </c>
      <c r="E467" s="20"/>
      <c r="F467" s="21">
        <v>400</v>
      </c>
      <c r="G467" s="21">
        <v>400</v>
      </c>
      <c r="H467" s="21">
        <v>1285</v>
      </c>
      <c r="I467" s="21">
        <v>815</v>
      </c>
      <c r="J467" s="20" t="s">
        <v>757</v>
      </c>
      <c r="K467" s="22" t="s">
        <v>209</v>
      </c>
      <c r="L467" s="22"/>
      <c r="M467" s="22"/>
      <c r="N467" s="23">
        <v>1</v>
      </c>
    </row>
    <row r="468" spans="1:14" ht="15.75" thickBot="1" x14ac:dyDescent="0.3">
      <c r="A468" s="76"/>
      <c r="B468" s="79"/>
      <c r="C468" s="79"/>
      <c r="D468" s="20" t="s">
        <v>34</v>
      </c>
      <c r="E468" s="20"/>
      <c r="F468" s="21">
        <v>102.7</v>
      </c>
      <c r="G468" s="21">
        <v>102.7</v>
      </c>
      <c r="H468" s="21">
        <v>150</v>
      </c>
      <c r="I468" s="21">
        <v>150</v>
      </c>
      <c r="J468" s="20" t="s">
        <v>760</v>
      </c>
      <c r="K468" s="22" t="s">
        <v>251</v>
      </c>
      <c r="L468" s="22"/>
      <c r="M468" s="22"/>
      <c r="N468" s="23">
        <v>90</v>
      </c>
    </row>
    <row r="469" spans="1:14" ht="54" customHeight="1" x14ac:dyDescent="0.25">
      <c r="A469" s="74" t="s">
        <v>761</v>
      </c>
      <c r="B469" s="77" t="s">
        <v>762</v>
      </c>
      <c r="C469" s="77" t="s">
        <v>763</v>
      </c>
      <c r="D469" s="16"/>
      <c r="E469" s="16"/>
      <c r="F469" s="17">
        <f>SUM(F470:F474)</f>
        <v>2333.9</v>
      </c>
      <c r="G469" s="17">
        <f>SUM(G470:G474)</f>
        <v>2333.9</v>
      </c>
      <c r="H469" s="17">
        <f>SUM(H470:H474)</f>
        <v>4045</v>
      </c>
      <c r="I469" s="17">
        <f>SUM(I470:I474)</f>
        <v>0</v>
      </c>
      <c r="J469" s="16" t="s">
        <v>764</v>
      </c>
      <c r="K469" s="18" t="s">
        <v>20</v>
      </c>
      <c r="L469" s="18">
        <v>30</v>
      </c>
      <c r="M469" s="18">
        <v>100</v>
      </c>
      <c r="N469" s="19"/>
    </row>
    <row r="470" spans="1:14" ht="54.75" customHeight="1" x14ac:dyDescent="0.25">
      <c r="A470" s="75"/>
      <c r="B470" s="78"/>
      <c r="C470" s="78"/>
      <c r="D470" s="20" t="s">
        <v>323</v>
      </c>
      <c r="E470" s="20"/>
      <c r="F470" s="21">
        <v>1635.3</v>
      </c>
      <c r="G470" s="21">
        <v>1635.3</v>
      </c>
      <c r="H470" s="21">
        <v>3200</v>
      </c>
      <c r="I470" s="21">
        <v>0</v>
      </c>
      <c r="J470" s="20" t="s">
        <v>765</v>
      </c>
      <c r="K470" s="22" t="s">
        <v>20</v>
      </c>
      <c r="L470" s="22">
        <v>50</v>
      </c>
      <c r="M470" s="22">
        <v>100</v>
      </c>
      <c r="N470" s="23"/>
    </row>
    <row r="471" spans="1:14" ht="60" x14ac:dyDescent="0.25">
      <c r="A471" s="75"/>
      <c r="B471" s="78"/>
      <c r="C471" s="78"/>
      <c r="D471" s="20" t="s">
        <v>34</v>
      </c>
      <c r="E471" s="20"/>
      <c r="F471" s="21">
        <v>250</v>
      </c>
      <c r="G471" s="21">
        <v>250</v>
      </c>
      <c r="H471" s="21">
        <v>250</v>
      </c>
      <c r="I471" s="21">
        <v>0</v>
      </c>
      <c r="J471" s="20" t="s">
        <v>766</v>
      </c>
      <c r="K471" s="22" t="s">
        <v>20</v>
      </c>
      <c r="L471" s="22">
        <v>50</v>
      </c>
      <c r="M471" s="22">
        <v>100</v>
      </c>
      <c r="N471" s="23"/>
    </row>
    <row r="472" spans="1:14" ht="45" x14ac:dyDescent="0.25">
      <c r="A472" s="75"/>
      <c r="B472" s="78"/>
      <c r="C472" s="78"/>
      <c r="D472" s="20" t="s">
        <v>123</v>
      </c>
      <c r="E472" s="20"/>
      <c r="F472" s="21">
        <v>420</v>
      </c>
      <c r="G472" s="21">
        <v>420</v>
      </c>
      <c r="H472" s="21">
        <v>595</v>
      </c>
      <c r="I472" s="21">
        <v>0</v>
      </c>
      <c r="J472" s="20" t="s">
        <v>767</v>
      </c>
      <c r="K472" s="22" t="s">
        <v>20</v>
      </c>
      <c r="L472" s="22"/>
      <c r="M472" s="22">
        <v>86</v>
      </c>
      <c r="N472" s="23"/>
    </row>
    <row r="473" spans="1:14" ht="39.75" customHeight="1" x14ac:dyDescent="0.25">
      <c r="A473" s="75"/>
      <c r="B473" s="78"/>
      <c r="C473" s="78"/>
      <c r="D473" s="20" t="s">
        <v>32</v>
      </c>
      <c r="E473" s="20"/>
      <c r="F473" s="21">
        <v>28.6</v>
      </c>
      <c r="G473" s="21">
        <v>28.6</v>
      </c>
      <c r="H473" s="21">
        <v>0</v>
      </c>
      <c r="I473" s="21">
        <v>0</v>
      </c>
      <c r="J473" s="20" t="s">
        <v>768</v>
      </c>
      <c r="K473" s="22" t="s">
        <v>20</v>
      </c>
      <c r="L473" s="22"/>
      <c r="M473" s="22">
        <v>75</v>
      </c>
      <c r="N473" s="23"/>
    </row>
    <row r="474" spans="1:14" ht="66" customHeight="1" thickBot="1" x14ac:dyDescent="0.3">
      <c r="A474" s="76"/>
      <c r="B474" s="79"/>
      <c r="C474" s="79"/>
      <c r="D474" s="20"/>
      <c r="E474" s="20"/>
      <c r="F474" s="21">
        <v>0</v>
      </c>
      <c r="G474" s="21">
        <v>0</v>
      </c>
      <c r="H474" s="21">
        <v>0</v>
      </c>
      <c r="I474" s="21">
        <v>0</v>
      </c>
      <c r="J474" s="20" t="s">
        <v>769</v>
      </c>
      <c r="K474" s="22" t="s">
        <v>20</v>
      </c>
      <c r="L474" s="22"/>
      <c r="M474" s="22">
        <v>100</v>
      </c>
      <c r="N474" s="23"/>
    </row>
    <row r="475" spans="1:14" ht="87.75" customHeight="1" x14ac:dyDescent="0.25">
      <c r="A475" s="74" t="s">
        <v>770</v>
      </c>
      <c r="B475" s="77" t="s">
        <v>771</v>
      </c>
      <c r="C475" s="77" t="s">
        <v>693</v>
      </c>
      <c r="D475" s="16"/>
      <c r="E475" s="16" t="s">
        <v>320</v>
      </c>
      <c r="F475" s="17">
        <f>SUM(F476:F477)</f>
        <v>90</v>
      </c>
      <c r="G475" s="17">
        <f>SUM(G476:G477)</f>
        <v>90</v>
      </c>
      <c r="H475" s="17">
        <f>SUM(H476:H477)</f>
        <v>1325</v>
      </c>
      <c r="I475" s="17">
        <f>SUM(I476:I477)</f>
        <v>1055</v>
      </c>
      <c r="J475" s="16" t="s">
        <v>772</v>
      </c>
      <c r="K475" s="18" t="s">
        <v>25</v>
      </c>
      <c r="L475" s="18">
        <v>1</v>
      </c>
      <c r="M475" s="18"/>
      <c r="N475" s="19"/>
    </row>
    <row r="476" spans="1:14" x14ac:dyDescent="0.25">
      <c r="A476" s="75"/>
      <c r="B476" s="78"/>
      <c r="C476" s="78"/>
      <c r="D476" s="20" t="s">
        <v>34</v>
      </c>
      <c r="E476" s="20"/>
      <c r="F476" s="21">
        <v>90</v>
      </c>
      <c r="G476" s="21">
        <v>90</v>
      </c>
      <c r="H476" s="21">
        <v>390</v>
      </c>
      <c r="I476" s="21">
        <v>290</v>
      </c>
      <c r="J476" s="20" t="s">
        <v>326</v>
      </c>
      <c r="K476" s="22" t="s">
        <v>20</v>
      </c>
      <c r="L476" s="22"/>
      <c r="M476" s="22">
        <v>60</v>
      </c>
      <c r="N476" s="23">
        <v>100</v>
      </c>
    </row>
    <row r="477" spans="1:14" ht="15.75" thickBot="1" x14ac:dyDescent="0.3">
      <c r="A477" s="76"/>
      <c r="B477" s="79"/>
      <c r="C477" s="79"/>
      <c r="D477" s="20" t="s">
        <v>323</v>
      </c>
      <c r="E477" s="20"/>
      <c r="F477" s="21">
        <v>0</v>
      </c>
      <c r="G477" s="21">
        <v>0</v>
      </c>
      <c r="H477" s="21">
        <v>935</v>
      </c>
      <c r="I477" s="21">
        <v>765</v>
      </c>
      <c r="J477" s="20" t="s">
        <v>757</v>
      </c>
      <c r="K477" s="22" t="s">
        <v>209</v>
      </c>
      <c r="L477" s="22"/>
      <c r="M477" s="22"/>
      <c r="N477" s="23">
        <v>1</v>
      </c>
    </row>
    <row r="478" spans="1:14" ht="23.25" customHeight="1" x14ac:dyDescent="0.25">
      <c r="A478" s="74" t="s">
        <v>773</v>
      </c>
      <c r="B478" s="77" t="s">
        <v>774</v>
      </c>
      <c r="C478" s="77" t="s">
        <v>693</v>
      </c>
      <c r="D478" s="16"/>
      <c r="E478" s="16" t="s">
        <v>320</v>
      </c>
      <c r="F478" s="17">
        <f>SUM(F479:F480)</f>
        <v>105</v>
      </c>
      <c r="G478" s="17">
        <f>SUM(G479:G480)</f>
        <v>105</v>
      </c>
      <c r="H478" s="17">
        <f>SUM(H479:H480)</f>
        <v>1622</v>
      </c>
      <c r="I478" s="17">
        <f>SUM(I479:I480)</f>
        <v>1351</v>
      </c>
      <c r="J478" s="16" t="s">
        <v>772</v>
      </c>
      <c r="K478" s="18" t="s">
        <v>25</v>
      </c>
      <c r="L478" s="18">
        <v>1</v>
      </c>
      <c r="M478" s="18"/>
      <c r="N478" s="19"/>
    </row>
    <row r="479" spans="1:14" x14ac:dyDescent="0.25">
      <c r="A479" s="75"/>
      <c r="B479" s="78"/>
      <c r="C479" s="78"/>
      <c r="D479" s="20" t="s">
        <v>34</v>
      </c>
      <c r="E479" s="20"/>
      <c r="F479" s="21">
        <v>105</v>
      </c>
      <c r="G479" s="21">
        <v>105</v>
      </c>
      <c r="H479" s="21">
        <v>250</v>
      </c>
      <c r="I479" s="21">
        <v>173</v>
      </c>
      <c r="J479" s="20" t="s">
        <v>326</v>
      </c>
      <c r="K479" s="22" t="s">
        <v>20</v>
      </c>
      <c r="L479" s="22"/>
      <c r="M479" s="22">
        <v>60</v>
      </c>
      <c r="N479" s="23">
        <v>100</v>
      </c>
    </row>
    <row r="480" spans="1:14" ht="15.75" thickBot="1" x14ac:dyDescent="0.3">
      <c r="A480" s="76"/>
      <c r="B480" s="79"/>
      <c r="C480" s="79"/>
      <c r="D480" s="20" t="s">
        <v>323</v>
      </c>
      <c r="E480" s="20"/>
      <c r="F480" s="21">
        <v>0</v>
      </c>
      <c r="G480" s="21">
        <v>0</v>
      </c>
      <c r="H480" s="21">
        <v>1372</v>
      </c>
      <c r="I480" s="21">
        <v>1178</v>
      </c>
      <c r="J480" s="20" t="s">
        <v>757</v>
      </c>
      <c r="K480" s="22" t="s">
        <v>209</v>
      </c>
      <c r="L480" s="22"/>
      <c r="M480" s="22"/>
      <c r="N480" s="23">
        <v>1</v>
      </c>
    </row>
    <row r="481" spans="1:14" x14ac:dyDescent="0.25">
      <c r="A481" s="74" t="s">
        <v>775</v>
      </c>
      <c r="B481" s="77" t="s">
        <v>776</v>
      </c>
      <c r="C481" s="77" t="s">
        <v>693</v>
      </c>
      <c r="D481" s="16"/>
      <c r="E481" s="16" t="s">
        <v>320</v>
      </c>
      <c r="F481" s="17">
        <f>SUM(F482:F483)</f>
        <v>400</v>
      </c>
      <c r="G481" s="17">
        <f>SUM(G482:G483)</f>
        <v>400</v>
      </c>
      <c r="H481" s="17">
        <f>SUM(H482:H483)</f>
        <v>1460</v>
      </c>
      <c r="I481" s="17">
        <f>SUM(I482:I483)</f>
        <v>1230</v>
      </c>
      <c r="J481" s="16" t="s">
        <v>772</v>
      </c>
      <c r="K481" s="18" t="s">
        <v>25</v>
      </c>
      <c r="L481" s="18">
        <v>1</v>
      </c>
      <c r="M481" s="18"/>
      <c r="N481" s="19"/>
    </row>
    <row r="482" spans="1:14" x14ac:dyDescent="0.25">
      <c r="A482" s="75"/>
      <c r="B482" s="78"/>
      <c r="C482" s="78"/>
      <c r="D482" s="20" t="s">
        <v>34</v>
      </c>
      <c r="E482" s="20"/>
      <c r="F482" s="21">
        <v>50</v>
      </c>
      <c r="G482" s="21">
        <v>50</v>
      </c>
      <c r="H482" s="21">
        <v>260</v>
      </c>
      <c r="I482" s="21">
        <v>230</v>
      </c>
      <c r="J482" s="20" t="s">
        <v>326</v>
      </c>
      <c r="K482" s="22" t="s">
        <v>20</v>
      </c>
      <c r="L482" s="22"/>
      <c r="M482" s="22">
        <v>60</v>
      </c>
      <c r="N482" s="23">
        <v>100</v>
      </c>
    </row>
    <row r="483" spans="1:14" ht="15.75" thickBot="1" x14ac:dyDescent="0.3">
      <c r="A483" s="76"/>
      <c r="B483" s="79"/>
      <c r="C483" s="79"/>
      <c r="D483" s="20" t="s">
        <v>323</v>
      </c>
      <c r="E483" s="20"/>
      <c r="F483" s="21">
        <v>350</v>
      </c>
      <c r="G483" s="21">
        <v>350</v>
      </c>
      <c r="H483" s="21">
        <v>1200</v>
      </c>
      <c r="I483" s="21">
        <v>1000</v>
      </c>
      <c r="J483" s="20" t="s">
        <v>757</v>
      </c>
      <c r="K483" s="22" t="s">
        <v>209</v>
      </c>
      <c r="L483" s="22"/>
      <c r="M483" s="22"/>
      <c r="N483" s="23">
        <v>1</v>
      </c>
    </row>
    <row r="484" spans="1:14" ht="63.75" customHeight="1" x14ac:dyDescent="0.25">
      <c r="A484" s="74" t="s">
        <v>777</v>
      </c>
      <c r="B484" s="77" t="s">
        <v>778</v>
      </c>
      <c r="C484" s="77" t="s">
        <v>693</v>
      </c>
      <c r="D484" s="16"/>
      <c r="E484" s="16" t="s">
        <v>320</v>
      </c>
      <c r="F484" s="17">
        <f>SUM(F485:F486)</f>
        <v>0</v>
      </c>
      <c r="G484" s="17">
        <f>SUM(G485:G486)</f>
        <v>0</v>
      </c>
      <c r="H484" s="17">
        <f>SUM(H485:H486)</f>
        <v>3200</v>
      </c>
      <c r="I484" s="17">
        <f>SUM(I485:I486)</f>
        <v>1705</v>
      </c>
      <c r="J484" s="16" t="s">
        <v>326</v>
      </c>
      <c r="K484" s="18" t="s">
        <v>20</v>
      </c>
      <c r="L484" s="18"/>
      <c r="M484" s="18">
        <v>40</v>
      </c>
      <c r="N484" s="19">
        <v>100</v>
      </c>
    </row>
    <row r="485" spans="1:14" x14ac:dyDescent="0.25">
      <c r="A485" s="75"/>
      <c r="B485" s="78"/>
      <c r="C485" s="78"/>
      <c r="D485" s="20" t="s">
        <v>34</v>
      </c>
      <c r="E485" s="20"/>
      <c r="F485" s="21">
        <v>0</v>
      </c>
      <c r="G485" s="21">
        <v>0</v>
      </c>
      <c r="H485" s="21">
        <v>480</v>
      </c>
      <c r="I485" s="21">
        <v>450</v>
      </c>
      <c r="J485" s="20"/>
      <c r="K485" s="22"/>
      <c r="L485" s="22"/>
      <c r="M485" s="22"/>
      <c r="N485" s="23"/>
    </row>
    <row r="486" spans="1:14" ht="15.75" thickBot="1" x14ac:dyDescent="0.3">
      <c r="A486" s="76"/>
      <c r="B486" s="79"/>
      <c r="C486" s="79"/>
      <c r="D486" s="20" t="s">
        <v>323</v>
      </c>
      <c r="E486" s="20"/>
      <c r="F486" s="21">
        <v>0</v>
      </c>
      <c r="G486" s="21">
        <v>0</v>
      </c>
      <c r="H486" s="21">
        <v>2720</v>
      </c>
      <c r="I486" s="21">
        <v>1255</v>
      </c>
      <c r="J486" s="20"/>
      <c r="K486" s="22"/>
      <c r="L486" s="22"/>
      <c r="M486" s="22"/>
      <c r="N486" s="23"/>
    </row>
    <row r="487" spans="1:14" ht="30.75" thickBot="1" x14ac:dyDescent="0.3">
      <c r="A487" s="6" t="s">
        <v>779</v>
      </c>
      <c r="B487" s="7" t="s">
        <v>780</v>
      </c>
      <c r="C487" s="80" t="s">
        <v>781</v>
      </c>
      <c r="D487" s="81"/>
      <c r="E487" s="82"/>
      <c r="F487" s="8">
        <f>SUM(F488:F488)</f>
        <v>6819.7999999999993</v>
      </c>
      <c r="G487" s="8">
        <f>SUM(G488:G488)</f>
        <v>7056.7999999999993</v>
      </c>
      <c r="H487" s="8">
        <f>SUM(H488:H488)</f>
        <v>4590.2</v>
      </c>
      <c r="I487" s="8">
        <f>SUM(I488:I488)</f>
        <v>4727.7999999999993</v>
      </c>
      <c r="J487" s="83"/>
      <c r="K487" s="84"/>
      <c r="L487" s="84"/>
      <c r="M487" s="84"/>
      <c r="N487" s="85"/>
    </row>
    <row r="488" spans="1:14" ht="41.25" customHeight="1" thickBot="1" x14ac:dyDescent="0.3">
      <c r="A488" s="9" t="s">
        <v>782</v>
      </c>
      <c r="B488" s="86" t="s">
        <v>783</v>
      </c>
      <c r="C488" s="87"/>
      <c r="D488" s="87"/>
      <c r="E488" s="88"/>
      <c r="F488" s="10">
        <f>F489+F510+F525</f>
        <v>6819.7999999999993</v>
      </c>
      <c r="G488" s="10">
        <f>G489+G510+G525</f>
        <v>7056.7999999999993</v>
      </c>
      <c r="H488" s="10">
        <f>H489+H510+H525</f>
        <v>4590.2</v>
      </c>
      <c r="I488" s="10">
        <f>I489+I510+I525</f>
        <v>4727.7999999999993</v>
      </c>
      <c r="J488" s="11" t="s">
        <v>784</v>
      </c>
      <c r="K488" s="12" t="s">
        <v>20</v>
      </c>
      <c r="L488" s="12">
        <v>1</v>
      </c>
      <c r="M488" s="12">
        <v>1</v>
      </c>
      <c r="N488" s="13">
        <v>1</v>
      </c>
    </row>
    <row r="489" spans="1:14" ht="26.25" customHeight="1" thickBot="1" x14ac:dyDescent="0.3">
      <c r="A489" s="14" t="s">
        <v>785</v>
      </c>
      <c r="B489" s="89" t="s">
        <v>786</v>
      </c>
      <c r="C489" s="90"/>
      <c r="D489" s="90"/>
      <c r="E489" s="91"/>
      <c r="F489" s="15">
        <f>F490+F493+F496+F500+F503+F506</f>
        <v>4586</v>
      </c>
      <c r="G489" s="15">
        <f>G490+G493+G496+G500+G503+G506</f>
        <v>4586</v>
      </c>
      <c r="H489" s="15">
        <f>H490+H493+H496+H500+H503+H506</f>
        <v>1880</v>
      </c>
      <c r="I489" s="15">
        <f>I490+I493+I496+I500+I503+I506</f>
        <v>1965</v>
      </c>
      <c r="J489" s="71"/>
      <c r="K489" s="72"/>
      <c r="L489" s="72"/>
      <c r="M489" s="72"/>
      <c r="N489" s="73"/>
    </row>
    <row r="490" spans="1:14" ht="34.5" customHeight="1" x14ac:dyDescent="0.25">
      <c r="A490" s="74" t="s">
        <v>787</v>
      </c>
      <c r="B490" s="77" t="s">
        <v>788</v>
      </c>
      <c r="C490" s="77" t="s">
        <v>789</v>
      </c>
      <c r="D490" s="16"/>
      <c r="E490" s="16"/>
      <c r="F490" s="17">
        <f>SUM(F491:F492)</f>
        <v>593.1</v>
      </c>
      <c r="G490" s="17">
        <f>SUM(G491:G492)</f>
        <v>593.1</v>
      </c>
      <c r="H490" s="17">
        <f>SUM(H491:H492)</f>
        <v>0</v>
      </c>
      <c r="I490" s="17">
        <f>SUM(I491:I492)</f>
        <v>0</v>
      </c>
      <c r="J490" s="16" t="s">
        <v>744</v>
      </c>
      <c r="K490" s="18" t="s">
        <v>25</v>
      </c>
      <c r="L490" s="18">
        <v>1</v>
      </c>
      <c r="M490" s="18"/>
      <c r="N490" s="19"/>
    </row>
    <row r="491" spans="1:14" x14ac:dyDescent="0.25">
      <c r="A491" s="75"/>
      <c r="B491" s="78"/>
      <c r="C491" s="78"/>
      <c r="D491" s="20" t="s">
        <v>34</v>
      </c>
      <c r="E491" s="20"/>
      <c r="F491" s="21">
        <v>193.1</v>
      </c>
      <c r="G491" s="21">
        <v>193.1</v>
      </c>
      <c r="H491" s="21">
        <v>0</v>
      </c>
      <c r="I491" s="21">
        <v>0</v>
      </c>
      <c r="J491" s="20" t="s">
        <v>790</v>
      </c>
      <c r="K491" s="22" t="s">
        <v>25</v>
      </c>
      <c r="L491" s="22">
        <v>1</v>
      </c>
      <c r="M491" s="22"/>
      <c r="N491" s="23"/>
    </row>
    <row r="492" spans="1:14" ht="15.75" thickBot="1" x14ac:dyDescent="0.3">
      <c r="A492" s="76"/>
      <c r="B492" s="79"/>
      <c r="C492" s="79"/>
      <c r="D492" s="20" t="s">
        <v>149</v>
      </c>
      <c r="E492" s="20"/>
      <c r="F492" s="21">
        <v>400</v>
      </c>
      <c r="G492" s="21">
        <v>400</v>
      </c>
      <c r="H492" s="21"/>
      <c r="I492" s="21"/>
      <c r="J492" s="20"/>
      <c r="K492" s="22"/>
      <c r="L492" s="22"/>
      <c r="M492" s="22"/>
      <c r="N492" s="23"/>
    </row>
    <row r="493" spans="1:14" ht="51.75" customHeight="1" x14ac:dyDescent="0.25">
      <c r="A493" s="74" t="s">
        <v>791</v>
      </c>
      <c r="B493" s="77" t="s">
        <v>792</v>
      </c>
      <c r="C493" s="77" t="s">
        <v>793</v>
      </c>
      <c r="D493" s="16"/>
      <c r="E493" s="16"/>
      <c r="F493" s="17">
        <f>SUM(F494:F495)</f>
        <v>607.6</v>
      </c>
      <c r="G493" s="17">
        <f>SUM(G494:G495)</f>
        <v>607.6</v>
      </c>
      <c r="H493" s="17">
        <f>SUM(H494:H495)</f>
        <v>380</v>
      </c>
      <c r="I493" s="17">
        <f>SUM(I494:I495)</f>
        <v>320</v>
      </c>
      <c r="J493" s="16" t="s">
        <v>794</v>
      </c>
      <c r="K493" s="18" t="s">
        <v>20</v>
      </c>
      <c r="L493" s="18">
        <v>70</v>
      </c>
      <c r="M493" s="18">
        <v>100</v>
      </c>
      <c r="N493" s="19">
        <v>0</v>
      </c>
    </row>
    <row r="494" spans="1:14" x14ac:dyDescent="0.25">
      <c r="A494" s="75"/>
      <c r="B494" s="78"/>
      <c r="C494" s="78"/>
      <c r="D494" s="20" t="s">
        <v>34</v>
      </c>
      <c r="E494" s="20"/>
      <c r="F494" s="21">
        <v>350</v>
      </c>
      <c r="G494" s="21">
        <v>350</v>
      </c>
      <c r="H494" s="21">
        <v>380</v>
      </c>
      <c r="I494" s="21">
        <v>320</v>
      </c>
      <c r="J494" s="20" t="s">
        <v>795</v>
      </c>
      <c r="K494" s="22" t="s">
        <v>20</v>
      </c>
      <c r="L494" s="22"/>
      <c r="M494" s="22"/>
      <c r="N494" s="23">
        <v>100</v>
      </c>
    </row>
    <row r="495" spans="1:14" ht="15.75" thickBot="1" x14ac:dyDescent="0.3">
      <c r="A495" s="76"/>
      <c r="B495" s="79"/>
      <c r="C495" s="79"/>
      <c r="D495" s="20" t="s">
        <v>32</v>
      </c>
      <c r="E495" s="20"/>
      <c r="F495" s="21">
        <v>257.60000000000002</v>
      </c>
      <c r="G495" s="21">
        <v>257.60000000000002</v>
      </c>
      <c r="H495" s="21"/>
      <c r="I495" s="21"/>
      <c r="J495" s="20"/>
      <c r="K495" s="22"/>
      <c r="L495" s="22"/>
      <c r="M495" s="22"/>
      <c r="N495" s="23"/>
    </row>
    <row r="496" spans="1:14" ht="30" x14ac:dyDescent="0.25">
      <c r="A496" s="74" t="s">
        <v>796</v>
      </c>
      <c r="B496" s="77" t="s">
        <v>797</v>
      </c>
      <c r="C496" s="77" t="s">
        <v>798</v>
      </c>
      <c r="D496" s="16"/>
      <c r="E496" s="16"/>
      <c r="F496" s="17">
        <f>SUM(F497:F499)</f>
        <v>255.5</v>
      </c>
      <c r="G496" s="17">
        <f>SUM(G497:G499)</f>
        <v>255.5</v>
      </c>
      <c r="H496" s="17">
        <f>SUM(H497:H499)</f>
        <v>300</v>
      </c>
      <c r="I496" s="17">
        <f>SUM(I497:I499)</f>
        <v>445</v>
      </c>
      <c r="J496" s="16" t="s">
        <v>799</v>
      </c>
      <c r="K496" s="18" t="s">
        <v>20</v>
      </c>
      <c r="L496" s="18">
        <v>100</v>
      </c>
      <c r="M496" s="18">
        <v>0</v>
      </c>
      <c r="N496" s="19">
        <v>0</v>
      </c>
    </row>
    <row r="497" spans="1:14" ht="45" x14ac:dyDescent="0.25">
      <c r="A497" s="75"/>
      <c r="B497" s="78"/>
      <c r="C497" s="78"/>
      <c r="D497" s="20" t="s">
        <v>34</v>
      </c>
      <c r="E497" s="20"/>
      <c r="F497" s="21">
        <v>235</v>
      </c>
      <c r="G497" s="21">
        <v>235</v>
      </c>
      <c r="H497" s="21">
        <v>300</v>
      </c>
      <c r="I497" s="21">
        <v>445</v>
      </c>
      <c r="J497" s="20" t="s">
        <v>800</v>
      </c>
      <c r="K497" s="22" t="s">
        <v>20</v>
      </c>
      <c r="L497" s="22">
        <v>0</v>
      </c>
      <c r="M497" s="22">
        <v>100</v>
      </c>
      <c r="N497" s="23">
        <v>0</v>
      </c>
    </row>
    <row r="498" spans="1:14" x14ac:dyDescent="0.25">
      <c r="A498" s="75"/>
      <c r="B498" s="78"/>
      <c r="C498" s="78"/>
      <c r="D498" s="20" t="s">
        <v>32</v>
      </c>
      <c r="E498" s="20"/>
      <c r="F498" s="21">
        <v>20.5</v>
      </c>
      <c r="G498" s="21">
        <v>20.5</v>
      </c>
      <c r="H498" s="21">
        <v>0</v>
      </c>
      <c r="I498" s="21">
        <v>0</v>
      </c>
      <c r="J498" s="20" t="s">
        <v>801</v>
      </c>
      <c r="K498" s="22" t="s">
        <v>209</v>
      </c>
      <c r="L498" s="22"/>
      <c r="M498" s="22"/>
      <c r="N498" s="23">
        <v>1</v>
      </c>
    </row>
    <row r="499" spans="1:14" ht="15.75" thickBot="1" x14ac:dyDescent="0.3">
      <c r="A499" s="76"/>
      <c r="B499" s="79"/>
      <c r="C499" s="79"/>
      <c r="D499" s="20"/>
      <c r="E499" s="20"/>
      <c r="F499" s="21">
        <v>0</v>
      </c>
      <c r="G499" s="21">
        <v>0</v>
      </c>
      <c r="H499" s="21">
        <v>0</v>
      </c>
      <c r="I499" s="21">
        <v>0</v>
      </c>
      <c r="J499" s="20" t="s">
        <v>802</v>
      </c>
      <c r="K499" s="22" t="s">
        <v>20</v>
      </c>
      <c r="L499" s="22"/>
      <c r="M499" s="22"/>
      <c r="N499" s="23">
        <v>100</v>
      </c>
    </row>
    <row r="500" spans="1:14" x14ac:dyDescent="0.25">
      <c r="A500" s="74" t="s">
        <v>803</v>
      </c>
      <c r="B500" s="77" t="s">
        <v>804</v>
      </c>
      <c r="C500" s="77" t="s">
        <v>1176</v>
      </c>
      <c r="D500" s="16" t="s">
        <v>34</v>
      </c>
      <c r="E500" s="16"/>
      <c r="F500" s="17">
        <f>SUM(F501:F502)+1673</f>
        <v>1673</v>
      </c>
      <c r="G500" s="17">
        <f>SUM(G501:G502)+1673</f>
        <v>1673</v>
      </c>
      <c r="H500" s="17">
        <f>SUM(H501:H502)</f>
        <v>0</v>
      </c>
      <c r="I500" s="17">
        <f>SUM(I501:I502)</f>
        <v>0</v>
      </c>
      <c r="J500" s="16" t="s">
        <v>805</v>
      </c>
      <c r="K500" s="18" t="s">
        <v>25</v>
      </c>
      <c r="L500" s="18">
        <v>1</v>
      </c>
      <c r="M500" s="18"/>
      <c r="N500" s="19"/>
    </row>
    <row r="501" spans="1:14" x14ac:dyDescent="0.25">
      <c r="A501" s="75"/>
      <c r="B501" s="78"/>
      <c r="C501" s="78"/>
      <c r="D501" s="20"/>
      <c r="E501" s="20"/>
      <c r="F501" s="21">
        <v>0</v>
      </c>
      <c r="G501" s="21">
        <v>0</v>
      </c>
      <c r="H501" s="21">
        <v>0</v>
      </c>
      <c r="I501" s="21">
        <v>0</v>
      </c>
      <c r="J501" s="20" t="s">
        <v>806</v>
      </c>
      <c r="K501" s="22" t="s">
        <v>20</v>
      </c>
      <c r="L501" s="22">
        <v>100</v>
      </c>
      <c r="M501" s="22"/>
      <c r="N501" s="23"/>
    </row>
    <row r="502" spans="1:14" ht="30.75" thickBot="1" x14ac:dyDescent="0.3">
      <c r="A502" s="76"/>
      <c r="B502" s="79"/>
      <c r="C502" s="79"/>
      <c r="D502" s="20"/>
      <c r="E502" s="20"/>
      <c r="F502" s="21">
        <v>0</v>
      </c>
      <c r="G502" s="21">
        <v>0</v>
      </c>
      <c r="H502" s="21">
        <v>0</v>
      </c>
      <c r="I502" s="21">
        <v>0</v>
      </c>
      <c r="J502" s="20" t="s">
        <v>807</v>
      </c>
      <c r="K502" s="22" t="s">
        <v>222</v>
      </c>
      <c r="L502" s="31">
        <v>1900</v>
      </c>
      <c r="M502" s="22"/>
      <c r="N502" s="23"/>
    </row>
    <row r="503" spans="1:14" ht="34.5" customHeight="1" x14ac:dyDescent="0.25">
      <c r="A503" s="74" t="s">
        <v>808</v>
      </c>
      <c r="B503" s="77" t="s">
        <v>809</v>
      </c>
      <c r="C503" s="77" t="s">
        <v>810</v>
      </c>
      <c r="D503" s="16" t="s">
        <v>323</v>
      </c>
      <c r="E503" s="16"/>
      <c r="F503" s="17">
        <f>SUM(F504:F505)+599.7</f>
        <v>599.70000000000005</v>
      </c>
      <c r="G503" s="17">
        <f>SUM(G504:G505)+599.7</f>
        <v>599.70000000000005</v>
      </c>
      <c r="H503" s="17">
        <f>SUM(H504:H505)+1200</f>
        <v>1200</v>
      </c>
      <c r="I503" s="17">
        <f>SUM(I504:I505)+1200</f>
        <v>1200</v>
      </c>
      <c r="J503" s="16" t="s">
        <v>757</v>
      </c>
      <c r="K503" s="18" t="s">
        <v>20</v>
      </c>
      <c r="L503" s="18">
        <v>12</v>
      </c>
      <c r="M503" s="18">
        <v>40</v>
      </c>
      <c r="N503" s="19">
        <v>69</v>
      </c>
    </row>
    <row r="504" spans="1:14" x14ac:dyDescent="0.25">
      <c r="A504" s="75"/>
      <c r="B504" s="78"/>
      <c r="C504" s="78"/>
      <c r="D504" s="20"/>
      <c r="E504" s="20"/>
      <c r="F504" s="21">
        <v>0</v>
      </c>
      <c r="G504" s="21">
        <v>0</v>
      </c>
      <c r="H504" s="21">
        <v>0</v>
      </c>
      <c r="I504" s="21">
        <v>0</v>
      </c>
      <c r="J504" s="20" t="s">
        <v>326</v>
      </c>
      <c r="K504" s="22" t="s">
        <v>20</v>
      </c>
      <c r="L504" s="22">
        <v>9</v>
      </c>
      <c r="M504" s="22">
        <v>39</v>
      </c>
      <c r="N504" s="23">
        <v>69</v>
      </c>
    </row>
    <row r="505" spans="1:14" ht="15.75" thickBot="1" x14ac:dyDescent="0.3">
      <c r="A505" s="76"/>
      <c r="B505" s="79"/>
      <c r="C505" s="79"/>
      <c r="D505" s="20"/>
      <c r="E505" s="20"/>
      <c r="F505" s="21">
        <v>0</v>
      </c>
      <c r="G505" s="21">
        <v>0</v>
      </c>
      <c r="H505" s="21">
        <v>0</v>
      </c>
      <c r="I505" s="21">
        <v>0</v>
      </c>
      <c r="J505" s="20" t="s">
        <v>811</v>
      </c>
      <c r="K505" s="22" t="s">
        <v>25</v>
      </c>
      <c r="L505" s="22"/>
      <c r="M505" s="22">
        <v>2</v>
      </c>
      <c r="N505" s="23">
        <v>2</v>
      </c>
    </row>
    <row r="506" spans="1:14" x14ac:dyDescent="0.25">
      <c r="A506" s="74" t="s">
        <v>812</v>
      </c>
      <c r="B506" s="77" t="s">
        <v>813</v>
      </c>
      <c r="C506" s="77" t="s">
        <v>810</v>
      </c>
      <c r="D506" s="16"/>
      <c r="E506" s="16"/>
      <c r="F506" s="17">
        <f>SUM(F507:F509)</f>
        <v>857.09999999999991</v>
      </c>
      <c r="G506" s="17">
        <f>SUM(G507:G509)</f>
        <v>857.09999999999991</v>
      </c>
      <c r="H506" s="17">
        <f>SUM(H507:H509)</f>
        <v>0</v>
      </c>
      <c r="I506" s="17">
        <f>SUM(I507:I509)</f>
        <v>0</v>
      </c>
      <c r="J506" s="16" t="s">
        <v>814</v>
      </c>
      <c r="K506" s="18" t="s">
        <v>251</v>
      </c>
      <c r="L506" s="18">
        <v>1</v>
      </c>
      <c r="M506" s="18"/>
      <c r="N506" s="19"/>
    </row>
    <row r="507" spans="1:14" x14ac:dyDescent="0.25">
      <c r="A507" s="75"/>
      <c r="B507" s="78"/>
      <c r="C507" s="78"/>
      <c r="D507" s="20" t="s">
        <v>32</v>
      </c>
      <c r="E507" s="20"/>
      <c r="F507" s="21">
        <v>125.3</v>
      </c>
      <c r="G507" s="21">
        <v>125.3</v>
      </c>
      <c r="H507" s="21">
        <v>0</v>
      </c>
      <c r="I507" s="21">
        <v>0</v>
      </c>
      <c r="J507" s="20" t="s">
        <v>815</v>
      </c>
      <c r="K507" s="22" t="s">
        <v>251</v>
      </c>
      <c r="L507" s="22">
        <v>4</v>
      </c>
      <c r="M507" s="22"/>
      <c r="N507" s="23"/>
    </row>
    <row r="508" spans="1:14" x14ac:dyDescent="0.25">
      <c r="A508" s="75"/>
      <c r="B508" s="78"/>
      <c r="C508" s="78"/>
      <c r="D508" s="20" t="s">
        <v>323</v>
      </c>
      <c r="E508" s="20"/>
      <c r="F508" s="21">
        <v>731.8</v>
      </c>
      <c r="G508" s="21">
        <v>731.8</v>
      </c>
      <c r="H508" s="21">
        <v>0</v>
      </c>
      <c r="I508" s="21">
        <v>0</v>
      </c>
      <c r="J508" s="20" t="s">
        <v>816</v>
      </c>
      <c r="K508" s="22" t="s">
        <v>209</v>
      </c>
      <c r="L508" s="22">
        <v>4</v>
      </c>
      <c r="M508" s="22"/>
      <c r="N508" s="23"/>
    </row>
    <row r="509" spans="1:14" ht="30.75" thickBot="1" x14ac:dyDescent="0.3">
      <c r="A509" s="76"/>
      <c r="B509" s="79"/>
      <c r="C509" s="79"/>
      <c r="D509" s="20"/>
      <c r="E509" s="20"/>
      <c r="F509" s="21">
        <v>0</v>
      </c>
      <c r="G509" s="21">
        <v>0</v>
      </c>
      <c r="H509" s="21">
        <v>0</v>
      </c>
      <c r="I509" s="21">
        <v>0</v>
      </c>
      <c r="J509" s="20" t="s">
        <v>817</v>
      </c>
      <c r="K509" s="22" t="s">
        <v>159</v>
      </c>
      <c r="L509" s="22">
        <v>8</v>
      </c>
      <c r="M509" s="22"/>
      <c r="N509" s="23"/>
    </row>
    <row r="510" spans="1:14" ht="27" customHeight="1" thickBot="1" x14ac:dyDescent="0.3">
      <c r="A510" s="14" t="s">
        <v>818</v>
      </c>
      <c r="B510" s="89" t="s">
        <v>819</v>
      </c>
      <c r="C510" s="90"/>
      <c r="D510" s="90"/>
      <c r="E510" s="91"/>
      <c r="F510" s="15">
        <f>F511+F517+F522</f>
        <v>1707.3999999999999</v>
      </c>
      <c r="G510" s="15">
        <f>G511+G517+G522</f>
        <v>1869.3999999999999</v>
      </c>
      <c r="H510" s="15">
        <f>H511+H517+H522</f>
        <v>2067.1999999999998</v>
      </c>
      <c r="I510" s="15">
        <f>I511+I517+I522</f>
        <v>2119.7999999999997</v>
      </c>
      <c r="J510" s="71"/>
      <c r="K510" s="72"/>
      <c r="L510" s="72"/>
      <c r="M510" s="72"/>
      <c r="N510" s="73"/>
    </row>
    <row r="511" spans="1:14" ht="30" customHeight="1" x14ac:dyDescent="0.25">
      <c r="A511" s="74" t="s">
        <v>820</v>
      </c>
      <c r="B511" s="77" t="s">
        <v>821</v>
      </c>
      <c r="C511" s="77" t="s">
        <v>822</v>
      </c>
      <c r="D511" s="16"/>
      <c r="E511" s="16"/>
      <c r="F511" s="17">
        <f>SUM(F512:F516)</f>
        <v>175.10000000000002</v>
      </c>
      <c r="G511" s="17">
        <f>SUM(G512:G516)</f>
        <v>175.10000000000002</v>
      </c>
      <c r="H511" s="17">
        <f>SUM(H512:H516)</f>
        <v>148.4</v>
      </c>
      <c r="I511" s="17">
        <f>SUM(I512:I516)</f>
        <v>158.5</v>
      </c>
      <c r="J511" s="16" t="s">
        <v>823</v>
      </c>
      <c r="K511" s="18" t="s">
        <v>251</v>
      </c>
      <c r="L511" s="18">
        <v>150</v>
      </c>
      <c r="M511" s="18">
        <v>150</v>
      </c>
      <c r="N511" s="19">
        <v>150</v>
      </c>
    </row>
    <row r="512" spans="1:14" x14ac:dyDescent="0.25">
      <c r="A512" s="75"/>
      <c r="B512" s="78"/>
      <c r="C512" s="78"/>
      <c r="D512" s="20" t="s">
        <v>118</v>
      </c>
      <c r="E512" s="20"/>
      <c r="F512" s="21">
        <v>4.5</v>
      </c>
      <c r="G512" s="21">
        <v>4.5</v>
      </c>
      <c r="H512" s="21">
        <v>1.9</v>
      </c>
      <c r="I512" s="21">
        <v>1.9</v>
      </c>
      <c r="J512" s="20"/>
      <c r="K512" s="22"/>
      <c r="L512" s="22"/>
      <c r="M512" s="22"/>
      <c r="N512" s="23"/>
    </row>
    <row r="513" spans="1:14" x14ac:dyDescent="0.25">
      <c r="A513" s="75"/>
      <c r="B513" s="78"/>
      <c r="C513" s="78"/>
      <c r="D513" s="20" t="s">
        <v>32</v>
      </c>
      <c r="E513" s="20"/>
      <c r="F513" s="21">
        <v>0.6</v>
      </c>
      <c r="G513" s="21">
        <v>0.6</v>
      </c>
      <c r="H513" s="21">
        <v>0</v>
      </c>
      <c r="I513" s="21">
        <v>0</v>
      </c>
      <c r="J513" s="20"/>
      <c r="K513" s="22"/>
      <c r="L513" s="22"/>
      <c r="M513" s="22"/>
      <c r="N513" s="23"/>
    </row>
    <row r="514" spans="1:14" x14ac:dyDescent="0.25">
      <c r="A514" s="75"/>
      <c r="B514" s="78"/>
      <c r="C514" s="78"/>
      <c r="D514" s="20" t="s">
        <v>128</v>
      </c>
      <c r="E514" s="20"/>
      <c r="F514" s="21">
        <v>26.6</v>
      </c>
      <c r="G514" s="21">
        <v>26.6</v>
      </c>
      <c r="H514" s="21">
        <v>0</v>
      </c>
      <c r="I514" s="21">
        <v>0</v>
      </c>
      <c r="J514" s="20"/>
      <c r="K514" s="22"/>
      <c r="L514" s="22"/>
      <c r="M514" s="22"/>
      <c r="N514" s="23"/>
    </row>
    <row r="515" spans="1:14" x14ac:dyDescent="0.25">
      <c r="A515" s="75"/>
      <c r="B515" s="78"/>
      <c r="C515" s="78"/>
      <c r="D515" s="20" t="s">
        <v>125</v>
      </c>
      <c r="E515" s="20"/>
      <c r="F515" s="21">
        <v>1</v>
      </c>
      <c r="G515" s="21">
        <v>1</v>
      </c>
      <c r="H515" s="21">
        <v>1</v>
      </c>
      <c r="I515" s="21">
        <v>1</v>
      </c>
      <c r="J515" s="20"/>
      <c r="K515" s="22"/>
      <c r="L515" s="22"/>
      <c r="M515" s="22"/>
      <c r="N515" s="23"/>
    </row>
    <row r="516" spans="1:14" ht="15.75" thickBot="1" x14ac:dyDescent="0.3">
      <c r="A516" s="76"/>
      <c r="B516" s="79"/>
      <c r="C516" s="79"/>
      <c r="D516" s="20" t="s">
        <v>34</v>
      </c>
      <c r="E516" s="20"/>
      <c r="F516" s="21">
        <v>142.4</v>
      </c>
      <c r="G516" s="21">
        <v>142.4</v>
      </c>
      <c r="H516" s="21">
        <v>145.5</v>
      </c>
      <c r="I516" s="21">
        <v>155.6</v>
      </c>
      <c r="J516" s="20"/>
      <c r="K516" s="22"/>
      <c r="L516" s="22"/>
      <c r="M516" s="22"/>
      <c r="N516" s="23"/>
    </row>
    <row r="517" spans="1:14" ht="28.5" customHeight="1" x14ac:dyDescent="0.25">
      <c r="A517" s="74" t="s">
        <v>824</v>
      </c>
      <c r="B517" s="77" t="s">
        <v>825</v>
      </c>
      <c r="C517" s="77" t="s">
        <v>822</v>
      </c>
      <c r="D517" s="16"/>
      <c r="E517" s="16"/>
      <c r="F517" s="17">
        <f>SUM(F518:F521)</f>
        <v>1381.6</v>
      </c>
      <c r="G517" s="17">
        <f>SUM(G518:G521)</f>
        <v>1543.6</v>
      </c>
      <c r="H517" s="17">
        <f>SUM(H518:H521)</f>
        <v>1768.1</v>
      </c>
      <c r="I517" s="17">
        <f>SUM(I518:I521)</f>
        <v>1810.6</v>
      </c>
      <c r="J517" s="16" t="s">
        <v>826</v>
      </c>
      <c r="K517" s="18" t="s">
        <v>251</v>
      </c>
      <c r="L517" s="18">
        <v>62</v>
      </c>
      <c r="M517" s="18">
        <v>60</v>
      </c>
      <c r="N517" s="19">
        <v>60</v>
      </c>
    </row>
    <row r="518" spans="1:14" ht="30" x14ac:dyDescent="0.25">
      <c r="A518" s="75"/>
      <c r="B518" s="78"/>
      <c r="C518" s="78"/>
      <c r="D518" s="20" t="s">
        <v>34</v>
      </c>
      <c r="E518" s="20"/>
      <c r="F518" s="21">
        <v>358.7</v>
      </c>
      <c r="G518" s="21">
        <v>358.7</v>
      </c>
      <c r="H518" s="21">
        <v>745.2</v>
      </c>
      <c r="I518" s="21">
        <v>787.7</v>
      </c>
      <c r="J518" s="20" t="s">
        <v>827</v>
      </c>
      <c r="K518" s="22" t="s">
        <v>251</v>
      </c>
      <c r="L518" s="31">
        <v>40000</v>
      </c>
      <c r="M518" s="31">
        <v>30000</v>
      </c>
      <c r="N518" s="32">
        <v>50000</v>
      </c>
    </row>
    <row r="519" spans="1:14" ht="30" x14ac:dyDescent="0.25">
      <c r="A519" s="75"/>
      <c r="B519" s="78"/>
      <c r="C519" s="78"/>
      <c r="D519" s="20" t="s">
        <v>475</v>
      </c>
      <c r="E519" s="20"/>
      <c r="F519" s="21">
        <v>1022.9</v>
      </c>
      <c r="G519" s="21">
        <v>1022.9</v>
      </c>
      <c r="H519" s="21">
        <v>1022.9</v>
      </c>
      <c r="I519" s="21">
        <v>1022.9</v>
      </c>
      <c r="J519" s="20" t="s">
        <v>828</v>
      </c>
      <c r="K519" s="22" t="s">
        <v>251</v>
      </c>
      <c r="L519" s="22">
        <v>1</v>
      </c>
      <c r="M519" s="22">
        <v>1</v>
      </c>
      <c r="N519" s="23">
        <v>1</v>
      </c>
    </row>
    <row r="520" spans="1:14" ht="30" x14ac:dyDescent="0.25">
      <c r="A520" s="75"/>
      <c r="B520" s="78"/>
      <c r="C520" s="78"/>
      <c r="D520" s="20" t="s">
        <v>32</v>
      </c>
      <c r="E520" s="20"/>
      <c r="F520" s="21">
        <v>0</v>
      </c>
      <c r="G520" s="21">
        <v>162</v>
      </c>
      <c r="H520" s="21">
        <v>0</v>
      </c>
      <c r="I520" s="21">
        <v>0</v>
      </c>
      <c r="J520" s="20" t="s">
        <v>829</v>
      </c>
      <c r="K520" s="22" t="s">
        <v>251</v>
      </c>
      <c r="L520" s="31">
        <v>17000</v>
      </c>
      <c r="M520" s="31">
        <v>17000</v>
      </c>
      <c r="N520" s="32">
        <v>17000</v>
      </c>
    </row>
    <row r="521" spans="1:14" ht="45.75" thickBot="1" x14ac:dyDescent="0.3">
      <c r="A521" s="76"/>
      <c r="B521" s="79"/>
      <c r="C521" s="79"/>
      <c r="D521" s="20"/>
      <c r="E521" s="20"/>
      <c r="F521" s="21">
        <v>0</v>
      </c>
      <c r="G521" s="21">
        <v>0</v>
      </c>
      <c r="H521" s="21">
        <v>0</v>
      </c>
      <c r="I521" s="21">
        <v>0</v>
      </c>
      <c r="J521" s="20" t="s">
        <v>830</v>
      </c>
      <c r="K521" s="22" t="s">
        <v>251</v>
      </c>
      <c r="L521" s="22">
        <v>65</v>
      </c>
      <c r="M521" s="22">
        <v>65</v>
      </c>
      <c r="N521" s="23">
        <v>65</v>
      </c>
    </row>
    <row r="522" spans="1:14" ht="50.25" customHeight="1" x14ac:dyDescent="0.25">
      <c r="A522" s="74" t="s">
        <v>831</v>
      </c>
      <c r="B522" s="77" t="s">
        <v>832</v>
      </c>
      <c r="C522" s="77" t="s">
        <v>822</v>
      </c>
      <c r="D522" s="16" t="s">
        <v>475</v>
      </c>
      <c r="E522" s="16"/>
      <c r="F522" s="17">
        <f>SUM(F523:F524)+150.7</f>
        <v>150.69999999999999</v>
      </c>
      <c r="G522" s="17">
        <f>SUM(G523:G524)+150.7</f>
        <v>150.69999999999999</v>
      </c>
      <c r="H522" s="17">
        <f>SUM(H523:H524)+150.7</f>
        <v>150.69999999999999</v>
      </c>
      <c r="I522" s="17">
        <f>SUM(I523:I524)+150.7</f>
        <v>150.69999999999999</v>
      </c>
      <c r="J522" s="16" t="s">
        <v>833</v>
      </c>
      <c r="K522" s="18" t="s">
        <v>251</v>
      </c>
      <c r="L522" s="36">
        <v>1540</v>
      </c>
      <c r="M522" s="36">
        <v>1540</v>
      </c>
      <c r="N522" s="37">
        <v>1540</v>
      </c>
    </row>
    <row r="523" spans="1:14" x14ac:dyDescent="0.25">
      <c r="A523" s="75"/>
      <c r="B523" s="78"/>
      <c r="C523" s="78"/>
      <c r="D523" s="20"/>
      <c r="E523" s="20"/>
      <c r="F523" s="21">
        <v>0</v>
      </c>
      <c r="G523" s="21">
        <v>0</v>
      </c>
      <c r="H523" s="21">
        <v>0</v>
      </c>
      <c r="I523" s="21">
        <v>0</v>
      </c>
      <c r="J523" s="20" t="s">
        <v>834</v>
      </c>
      <c r="K523" s="22" t="s">
        <v>251</v>
      </c>
      <c r="L523" s="22">
        <v>482</v>
      </c>
      <c r="M523" s="22">
        <v>482</v>
      </c>
      <c r="N523" s="23">
        <v>482</v>
      </c>
    </row>
    <row r="524" spans="1:14" ht="15.75" thickBot="1" x14ac:dyDescent="0.3">
      <c r="A524" s="76"/>
      <c r="B524" s="79"/>
      <c r="C524" s="79"/>
      <c r="D524" s="20"/>
      <c r="E524" s="20"/>
      <c r="F524" s="21">
        <v>0</v>
      </c>
      <c r="G524" s="21">
        <v>0</v>
      </c>
      <c r="H524" s="21">
        <v>0</v>
      </c>
      <c r="I524" s="21">
        <v>0</v>
      </c>
      <c r="J524" s="20" t="s">
        <v>835</v>
      </c>
      <c r="K524" s="22" t="s">
        <v>251</v>
      </c>
      <c r="L524" s="22">
        <v>10</v>
      </c>
      <c r="M524" s="22">
        <v>10</v>
      </c>
      <c r="N524" s="23">
        <v>10</v>
      </c>
    </row>
    <row r="525" spans="1:14" ht="28.5" customHeight="1" thickBot="1" x14ac:dyDescent="0.3">
      <c r="A525" s="14" t="s">
        <v>836</v>
      </c>
      <c r="B525" s="89" t="s">
        <v>837</v>
      </c>
      <c r="C525" s="90"/>
      <c r="D525" s="90"/>
      <c r="E525" s="91"/>
      <c r="F525" s="15">
        <f>F526+F529+F530+F532</f>
        <v>526.4</v>
      </c>
      <c r="G525" s="15">
        <f>G526+G529+G530+G532</f>
        <v>601.4</v>
      </c>
      <c r="H525" s="15">
        <f>H526+H529+H530+H532</f>
        <v>643</v>
      </c>
      <c r="I525" s="15">
        <f>I526+I529+I530+I532</f>
        <v>643</v>
      </c>
      <c r="J525" s="71"/>
      <c r="K525" s="72"/>
      <c r="L525" s="72"/>
      <c r="M525" s="72"/>
      <c r="N525" s="73"/>
    </row>
    <row r="526" spans="1:14" ht="60" x14ac:dyDescent="0.25">
      <c r="A526" s="74" t="s">
        <v>838</v>
      </c>
      <c r="B526" s="77" t="s">
        <v>839</v>
      </c>
      <c r="C526" s="77" t="s">
        <v>781</v>
      </c>
      <c r="D526" s="16"/>
      <c r="E526" s="16"/>
      <c r="F526" s="17">
        <f>SUM(F527:F528)</f>
        <v>2.9</v>
      </c>
      <c r="G526" s="17">
        <f>SUM(G527:G528)</f>
        <v>2.9</v>
      </c>
      <c r="H526" s="17">
        <f>SUM(H527:H528)</f>
        <v>2</v>
      </c>
      <c r="I526" s="17">
        <f>SUM(I527:I528)</f>
        <v>2</v>
      </c>
      <c r="J526" s="16" t="s">
        <v>840</v>
      </c>
      <c r="K526" s="18" t="s">
        <v>251</v>
      </c>
      <c r="L526" s="18">
        <v>15</v>
      </c>
      <c r="M526" s="18">
        <v>15</v>
      </c>
      <c r="N526" s="19">
        <v>15</v>
      </c>
    </row>
    <row r="527" spans="1:14" x14ac:dyDescent="0.25">
      <c r="A527" s="75"/>
      <c r="B527" s="78"/>
      <c r="C527" s="78"/>
      <c r="D527" s="20" t="s">
        <v>34</v>
      </c>
      <c r="E527" s="20"/>
      <c r="F527" s="21">
        <v>2</v>
      </c>
      <c r="G527" s="21">
        <v>2</v>
      </c>
      <c r="H527" s="21">
        <v>2</v>
      </c>
      <c r="I527" s="21">
        <v>2</v>
      </c>
      <c r="J527" s="20"/>
      <c r="K527" s="22"/>
      <c r="L527" s="22"/>
      <c r="M527" s="22"/>
      <c r="N527" s="23"/>
    </row>
    <row r="528" spans="1:14" ht="15.75" thickBot="1" x14ac:dyDescent="0.3">
      <c r="A528" s="76"/>
      <c r="B528" s="79"/>
      <c r="C528" s="79"/>
      <c r="D528" s="20" t="s">
        <v>32</v>
      </c>
      <c r="E528" s="20"/>
      <c r="F528" s="21">
        <v>0.9</v>
      </c>
      <c r="G528" s="21">
        <v>0.9</v>
      </c>
      <c r="H528" s="21">
        <v>0</v>
      </c>
      <c r="I528" s="21">
        <v>0</v>
      </c>
      <c r="J528" s="20"/>
      <c r="K528" s="22"/>
      <c r="L528" s="22"/>
      <c r="M528" s="22"/>
      <c r="N528" s="23"/>
    </row>
    <row r="529" spans="1:14" ht="90.75" thickBot="1" x14ac:dyDescent="0.3">
      <c r="A529" s="24" t="s">
        <v>841</v>
      </c>
      <c r="B529" s="25" t="s">
        <v>842</v>
      </c>
      <c r="C529" s="16" t="s">
        <v>843</v>
      </c>
      <c r="D529" s="16" t="s">
        <v>34</v>
      </c>
      <c r="E529" s="16"/>
      <c r="F529" s="26">
        <v>15</v>
      </c>
      <c r="G529" s="26">
        <v>15</v>
      </c>
      <c r="H529" s="26">
        <v>15</v>
      </c>
      <c r="I529" s="26">
        <v>15</v>
      </c>
      <c r="J529" s="16" t="s">
        <v>844</v>
      </c>
      <c r="K529" s="18" t="s">
        <v>251</v>
      </c>
      <c r="L529" s="18">
        <v>800</v>
      </c>
      <c r="M529" s="18">
        <v>800</v>
      </c>
      <c r="N529" s="19">
        <v>800</v>
      </c>
    </row>
    <row r="530" spans="1:14" ht="26.25" customHeight="1" x14ac:dyDescent="0.25">
      <c r="A530" s="74" t="s">
        <v>845</v>
      </c>
      <c r="B530" s="77" t="s">
        <v>846</v>
      </c>
      <c r="C530" s="77" t="s">
        <v>781</v>
      </c>
      <c r="D530" s="16" t="s">
        <v>34</v>
      </c>
      <c r="E530" s="16" t="s">
        <v>847</v>
      </c>
      <c r="F530" s="17">
        <f>SUM(F531:F531)+316</f>
        <v>316</v>
      </c>
      <c r="G530" s="17">
        <f>SUM(G531:G531)+316</f>
        <v>316</v>
      </c>
      <c r="H530" s="17">
        <f>SUM(H531:H531)+316</f>
        <v>316</v>
      </c>
      <c r="I530" s="17">
        <f>SUM(I531:I531)+316</f>
        <v>316</v>
      </c>
      <c r="J530" s="16" t="s">
        <v>848</v>
      </c>
      <c r="K530" s="18" t="s">
        <v>251</v>
      </c>
      <c r="L530" s="18">
        <v>14</v>
      </c>
      <c r="M530" s="18">
        <v>14</v>
      </c>
      <c r="N530" s="19">
        <v>14</v>
      </c>
    </row>
    <row r="531" spans="1:14" ht="15.75" thickBot="1" x14ac:dyDescent="0.3">
      <c r="A531" s="76"/>
      <c r="B531" s="79"/>
      <c r="C531" s="79"/>
      <c r="D531" s="20"/>
      <c r="E531" s="20"/>
      <c r="F531" s="21">
        <v>0</v>
      </c>
      <c r="G531" s="21">
        <v>0</v>
      </c>
      <c r="H531" s="21">
        <v>0</v>
      </c>
      <c r="I531" s="21">
        <v>0</v>
      </c>
      <c r="J531" s="20" t="s">
        <v>849</v>
      </c>
      <c r="K531" s="22" t="s">
        <v>251</v>
      </c>
      <c r="L531" s="22">
        <v>8</v>
      </c>
      <c r="M531" s="22">
        <v>8</v>
      </c>
      <c r="N531" s="23">
        <v>8</v>
      </c>
    </row>
    <row r="532" spans="1:14" x14ac:dyDescent="0.25">
      <c r="A532" s="74" t="s">
        <v>850</v>
      </c>
      <c r="B532" s="77" t="s">
        <v>851</v>
      </c>
      <c r="C532" s="77" t="s">
        <v>852</v>
      </c>
      <c r="D532" s="16"/>
      <c r="E532" s="16"/>
      <c r="F532" s="17">
        <f>SUM(F533:F536)</f>
        <v>192.5</v>
      </c>
      <c r="G532" s="17">
        <f>SUM(G533:G536)</f>
        <v>267.5</v>
      </c>
      <c r="H532" s="17">
        <f>SUM(H533:H536)</f>
        <v>310</v>
      </c>
      <c r="I532" s="17">
        <f>SUM(I533:I536)</f>
        <v>310</v>
      </c>
      <c r="J532" s="16" t="s">
        <v>853</v>
      </c>
      <c r="K532" s="18" t="s">
        <v>20</v>
      </c>
      <c r="L532" s="18">
        <v>100</v>
      </c>
      <c r="M532" s="18">
        <v>100</v>
      </c>
      <c r="N532" s="19">
        <v>100</v>
      </c>
    </row>
    <row r="533" spans="1:14" x14ac:dyDescent="0.25">
      <c r="A533" s="75"/>
      <c r="B533" s="78"/>
      <c r="C533" s="78"/>
      <c r="D533" s="20" t="s">
        <v>34</v>
      </c>
      <c r="E533" s="20"/>
      <c r="F533" s="21">
        <v>70</v>
      </c>
      <c r="G533" s="21">
        <v>70</v>
      </c>
      <c r="H533" s="21">
        <v>220</v>
      </c>
      <c r="I533" s="21">
        <v>220</v>
      </c>
      <c r="J533" s="20"/>
      <c r="K533" s="22"/>
      <c r="L533" s="22"/>
      <c r="M533" s="22"/>
      <c r="N533" s="23"/>
    </row>
    <row r="534" spans="1:14" x14ac:dyDescent="0.25">
      <c r="A534" s="75"/>
      <c r="B534" s="78"/>
      <c r="C534" s="78"/>
      <c r="D534" s="20" t="s">
        <v>215</v>
      </c>
      <c r="E534" s="20"/>
      <c r="F534" s="21">
        <v>32.5</v>
      </c>
      <c r="G534" s="21">
        <v>32.5</v>
      </c>
      <c r="H534" s="21">
        <v>0</v>
      </c>
      <c r="I534" s="21">
        <v>0</v>
      </c>
      <c r="J534" s="20"/>
      <c r="K534" s="22"/>
      <c r="L534" s="22"/>
      <c r="M534" s="22"/>
      <c r="N534" s="23"/>
    </row>
    <row r="535" spans="1:14" x14ac:dyDescent="0.25">
      <c r="A535" s="75"/>
      <c r="B535" s="78"/>
      <c r="C535" s="78"/>
      <c r="D535" s="20" t="s">
        <v>198</v>
      </c>
      <c r="E535" s="20"/>
      <c r="F535" s="21">
        <v>90</v>
      </c>
      <c r="G535" s="21">
        <v>90</v>
      </c>
      <c r="H535" s="21">
        <v>90</v>
      </c>
      <c r="I535" s="21">
        <v>90</v>
      </c>
      <c r="J535" s="20"/>
      <c r="K535" s="22"/>
      <c r="L535" s="22"/>
      <c r="M535" s="22"/>
      <c r="N535" s="23"/>
    </row>
    <row r="536" spans="1:14" ht="15.75" thickBot="1" x14ac:dyDescent="0.3">
      <c r="A536" s="76"/>
      <c r="B536" s="79"/>
      <c r="C536" s="79"/>
      <c r="D536" s="20" t="s">
        <v>32</v>
      </c>
      <c r="E536" s="20"/>
      <c r="F536" s="21">
        <v>0</v>
      </c>
      <c r="G536" s="21">
        <v>75</v>
      </c>
      <c r="H536" s="21">
        <v>0</v>
      </c>
      <c r="I536" s="21">
        <v>0</v>
      </c>
      <c r="J536" s="20"/>
      <c r="K536" s="22"/>
      <c r="L536" s="22"/>
      <c r="M536" s="22"/>
      <c r="N536" s="23"/>
    </row>
    <row r="537" spans="1:14" ht="28.5" customHeight="1" thickBot="1" x14ac:dyDescent="0.3">
      <c r="A537" s="6" t="s">
        <v>854</v>
      </c>
      <c r="B537" s="7" t="s">
        <v>855</v>
      </c>
      <c r="C537" s="80" t="s">
        <v>856</v>
      </c>
      <c r="D537" s="81"/>
      <c r="E537" s="82"/>
      <c r="F537" s="8">
        <f>SUM(F538:F538)</f>
        <v>70833.899999999994</v>
      </c>
      <c r="G537" s="8">
        <f>SUM(G538:G538)</f>
        <v>71619.899999999994</v>
      </c>
      <c r="H537" s="8">
        <f>SUM(H538:H538)</f>
        <v>71665.499999999985</v>
      </c>
      <c r="I537" s="8">
        <f>SUM(I538:I538)</f>
        <v>72223.699999999983</v>
      </c>
      <c r="J537" s="83"/>
      <c r="K537" s="84"/>
      <c r="L537" s="84"/>
      <c r="M537" s="84"/>
      <c r="N537" s="85"/>
    </row>
    <row r="538" spans="1:14" ht="29.25" customHeight="1" x14ac:dyDescent="0.25">
      <c r="A538" s="92" t="s">
        <v>857</v>
      </c>
      <c r="B538" s="95" t="s">
        <v>858</v>
      </c>
      <c r="C538" s="96"/>
      <c r="D538" s="96"/>
      <c r="E538" s="97"/>
      <c r="F538" s="10">
        <f>F539+F540+F541+F590+F599</f>
        <v>70833.899999999994</v>
      </c>
      <c r="G538" s="10">
        <f>G539+G540+G541+G590+G599-0.1</f>
        <v>71619.899999999994</v>
      </c>
      <c r="H538" s="10">
        <f>H539+H540+H541+H590+H599</f>
        <v>71665.499999999985</v>
      </c>
      <c r="I538" s="10">
        <f>I539+I540+I541+I590+I599</f>
        <v>72223.699999999983</v>
      </c>
      <c r="J538" s="11" t="s">
        <v>859</v>
      </c>
      <c r="K538" s="12" t="s">
        <v>20</v>
      </c>
      <c r="L538" s="12">
        <v>20.9</v>
      </c>
      <c r="M538" s="12">
        <v>21</v>
      </c>
      <c r="N538" s="13">
        <v>21.1</v>
      </c>
    </row>
    <row r="539" spans="1:14" ht="45" x14ac:dyDescent="0.25">
      <c r="A539" s="93"/>
      <c r="B539" s="98"/>
      <c r="C539" s="99"/>
      <c r="D539" s="99"/>
      <c r="E539" s="100"/>
      <c r="F539" s="27">
        <v>0</v>
      </c>
      <c r="G539" s="27">
        <v>0</v>
      </c>
      <c r="H539" s="27">
        <v>0</v>
      </c>
      <c r="I539" s="27">
        <v>0</v>
      </c>
      <c r="J539" s="28" t="s">
        <v>860</v>
      </c>
      <c r="K539" s="29" t="s">
        <v>20</v>
      </c>
      <c r="L539" s="29">
        <v>39.200000000000003</v>
      </c>
      <c r="M539" s="29">
        <v>38</v>
      </c>
      <c r="N539" s="30">
        <v>37</v>
      </c>
    </row>
    <row r="540" spans="1:14" ht="45.75" thickBot="1" x14ac:dyDescent="0.3">
      <c r="A540" s="94"/>
      <c r="B540" s="101"/>
      <c r="C540" s="102"/>
      <c r="D540" s="102"/>
      <c r="E540" s="103"/>
      <c r="F540" s="27">
        <v>0</v>
      </c>
      <c r="G540" s="27">
        <v>0</v>
      </c>
      <c r="H540" s="27">
        <v>0</v>
      </c>
      <c r="I540" s="27">
        <v>0</v>
      </c>
      <c r="J540" s="28" t="s">
        <v>861</v>
      </c>
      <c r="K540" s="29" t="s">
        <v>20</v>
      </c>
      <c r="L540" s="29">
        <v>18.399999999999999</v>
      </c>
      <c r="M540" s="29">
        <v>17</v>
      </c>
      <c r="N540" s="30">
        <v>16.5</v>
      </c>
    </row>
    <row r="541" spans="1:14" ht="27" customHeight="1" thickBot="1" x14ac:dyDescent="0.3">
      <c r="A541" s="14" t="s">
        <v>862</v>
      </c>
      <c r="B541" s="89" t="s">
        <v>863</v>
      </c>
      <c r="C541" s="90"/>
      <c r="D541" s="90"/>
      <c r="E541" s="91"/>
      <c r="F541" s="15">
        <f>F542+F548+F549+F553+F558+F567+F570+F573+F576+F578+F581+F585+F586+0.1</f>
        <v>17676.399999999998</v>
      </c>
      <c r="G541" s="15">
        <f>G542+G548+G549+G553+G558+G567+G570+G573+G576+G578+G581+G585+G586+0.1</f>
        <v>18462.5</v>
      </c>
      <c r="H541" s="15">
        <f>H542+H548+H549+H553+H558+H567+H570+H573+H576+H578+H581+H585+H586+0.1</f>
        <v>17740.699999999997</v>
      </c>
      <c r="I541" s="15">
        <f>I542+I548+I549+I553+I558+I567+I570+I573+I576+I578+I581+I585+I586</f>
        <v>18246.899999999998</v>
      </c>
      <c r="J541" s="71"/>
      <c r="K541" s="72"/>
      <c r="L541" s="72"/>
      <c r="M541" s="72"/>
      <c r="N541" s="73"/>
    </row>
    <row r="542" spans="1:14" x14ac:dyDescent="0.25">
      <c r="A542" s="74" t="s">
        <v>864</v>
      </c>
      <c r="B542" s="77" t="s">
        <v>865</v>
      </c>
      <c r="C542" s="77" t="s">
        <v>866</v>
      </c>
      <c r="D542" s="16"/>
      <c r="E542" s="16"/>
      <c r="F542" s="17">
        <f>SUM(F543:F547)</f>
        <v>4655.6000000000004</v>
      </c>
      <c r="G542" s="17">
        <f>SUM(G543:G547)</f>
        <v>4655.6000000000004</v>
      </c>
      <c r="H542" s="17">
        <f>SUM(H543:H547)</f>
        <v>4655.6000000000004</v>
      </c>
      <c r="I542" s="17">
        <f>SUM(I543:I547)</f>
        <v>4629.6000000000004</v>
      </c>
      <c r="J542" s="16" t="s">
        <v>867</v>
      </c>
      <c r="K542" s="18" t="s">
        <v>251</v>
      </c>
      <c r="L542" s="18">
        <v>5</v>
      </c>
      <c r="M542" s="18">
        <v>5</v>
      </c>
      <c r="N542" s="19">
        <v>5</v>
      </c>
    </row>
    <row r="543" spans="1:14" ht="45" x14ac:dyDescent="0.25">
      <c r="A543" s="75"/>
      <c r="B543" s="78"/>
      <c r="C543" s="78"/>
      <c r="D543" s="20" t="s">
        <v>475</v>
      </c>
      <c r="E543" s="20"/>
      <c r="F543" s="21">
        <v>3779.6</v>
      </c>
      <c r="G543" s="21">
        <v>3779.6</v>
      </c>
      <c r="H543" s="21">
        <v>3779.6</v>
      </c>
      <c r="I543" s="21">
        <v>3779.6</v>
      </c>
      <c r="J543" s="20" t="s">
        <v>868</v>
      </c>
      <c r="K543" s="22" t="s">
        <v>20</v>
      </c>
      <c r="L543" s="22">
        <v>100</v>
      </c>
      <c r="M543" s="22">
        <v>100</v>
      </c>
      <c r="N543" s="23">
        <v>100</v>
      </c>
    </row>
    <row r="544" spans="1:14" ht="30" x14ac:dyDescent="0.25">
      <c r="A544" s="75"/>
      <c r="B544" s="78"/>
      <c r="C544" s="78"/>
      <c r="D544" s="20" t="s">
        <v>32</v>
      </c>
      <c r="E544" s="20"/>
      <c r="F544" s="21">
        <v>251</v>
      </c>
      <c r="G544" s="21">
        <v>251</v>
      </c>
      <c r="H544" s="21">
        <v>0</v>
      </c>
      <c r="I544" s="21">
        <v>0</v>
      </c>
      <c r="J544" s="20" t="s">
        <v>869</v>
      </c>
      <c r="K544" s="22" t="s">
        <v>251</v>
      </c>
      <c r="L544" s="22">
        <v>320</v>
      </c>
      <c r="M544" s="22">
        <v>320</v>
      </c>
      <c r="N544" s="23">
        <v>320</v>
      </c>
    </row>
    <row r="545" spans="1:14" ht="30" x14ac:dyDescent="0.25">
      <c r="A545" s="75"/>
      <c r="B545" s="78"/>
      <c r="C545" s="78"/>
      <c r="D545" s="20" t="s">
        <v>34</v>
      </c>
      <c r="E545" s="20"/>
      <c r="F545" s="21">
        <v>625</v>
      </c>
      <c r="G545" s="21">
        <v>625</v>
      </c>
      <c r="H545" s="21">
        <v>876</v>
      </c>
      <c r="I545" s="21">
        <v>850</v>
      </c>
      <c r="J545" s="20" t="s">
        <v>870</v>
      </c>
      <c r="K545" s="22" t="s">
        <v>251</v>
      </c>
      <c r="L545" s="22">
        <v>120</v>
      </c>
      <c r="M545" s="22">
        <v>120</v>
      </c>
      <c r="N545" s="23">
        <v>120</v>
      </c>
    </row>
    <row r="546" spans="1:14" ht="30" x14ac:dyDescent="0.25">
      <c r="A546" s="75"/>
      <c r="B546" s="78"/>
      <c r="C546" s="78"/>
      <c r="D546" s="20"/>
      <c r="E546" s="20"/>
      <c r="F546" s="21">
        <v>0</v>
      </c>
      <c r="G546" s="21">
        <v>0</v>
      </c>
      <c r="H546" s="21">
        <v>0</v>
      </c>
      <c r="I546" s="21">
        <v>0</v>
      </c>
      <c r="J546" s="20" t="s">
        <v>871</v>
      </c>
      <c r="K546" s="22" t="s">
        <v>251</v>
      </c>
      <c r="L546" s="22">
        <v>405</v>
      </c>
      <c r="M546" s="22">
        <v>405</v>
      </c>
      <c r="N546" s="23">
        <v>405</v>
      </c>
    </row>
    <row r="547" spans="1:14" ht="30.75" thickBot="1" x14ac:dyDescent="0.3">
      <c r="A547" s="76"/>
      <c r="B547" s="79"/>
      <c r="C547" s="79"/>
      <c r="D547" s="20"/>
      <c r="E547" s="20"/>
      <c r="F547" s="21">
        <v>0</v>
      </c>
      <c r="G547" s="21">
        <v>0</v>
      </c>
      <c r="H547" s="21">
        <v>0</v>
      </c>
      <c r="I547" s="21">
        <v>0</v>
      </c>
      <c r="J547" s="20" t="s">
        <v>872</v>
      </c>
      <c r="K547" s="22" t="s">
        <v>251</v>
      </c>
      <c r="L547" s="22">
        <v>50</v>
      </c>
      <c r="M547" s="22">
        <v>50</v>
      </c>
      <c r="N547" s="23">
        <v>50</v>
      </c>
    </row>
    <row r="548" spans="1:14" ht="45.75" thickBot="1" x14ac:dyDescent="0.3">
      <c r="A548" s="24" t="s">
        <v>873</v>
      </c>
      <c r="B548" s="25" t="s">
        <v>874</v>
      </c>
      <c r="C548" s="16" t="s">
        <v>875</v>
      </c>
      <c r="D548" s="16" t="s">
        <v>475</v>
      </c>
      <c r="E548" s="16"/>
      <c r="F548" s="26">
        <v>297.89999999999998</v>
      </c>
      <c r="G548" s="26">
        <v>297.89999999999998</v>
      </c>
      <c r="H548" s="26">
        <v>297.89999999999998</v>
      </c>
      <c r="I548" s="26">
        <v>297.89999999999998</v>
      </c>
      <c r="J548" s="16" t="s">
        <v>876</v>
      </c>
      <c r="K548" s="18" t="s">
        <v>20</v>
      </c>
      <c r="L548" s="18">
        <v>6</v>
      </c>
      <c r="M548" s="18">
        <v>7</v>
      </c>
      <c r="N548" s="19">
        <v>8</v>
      </c>
    </row>
    <row r="549" spans="1:14" ht="30" x14ac:dyDescent="0.25">
      <c r="A549" s="74" t="s">
        <v>877</v>
      </c>
      <c r="B549" s="77" t="s">
        <v>878</v>
      </c>
      <c r="C549" s="77" t="s">
        <v>879</v>
      </c>
      <c r="D549" s="16"/>
      <c r="E549" s="16"/>
      <c r="F549" s="17">
        <f>SUM(F550:F552)</f>
        <v>496.5</v>
      </c>
      <c r="G549" s="17">
        <f>SUM(G550:G552)</f>
        <v>496.5</v>
      </c>
      <c r="H549" s="17">
        <f>SUM(H550:H552)</f>
        <v>407.9</v>
      </c>
      <c r="I549" s="17">
        <f>SUM(I550:I552)</f>
        <v>476.2</v>
      </c>
      <c r="J549" s="16" t="s">
        <v>880</v>
      </c>
      <c r="K549" s="18" t="s">
        <v>20</v>
      </c>
      <c r="L549" s="18">
        <v>70</v>
      </c>
      <c r="M549" s="18">
        <v>75</v>
      </c>
      <c r="N549" s="19">
        <v>75</v>
      </c>
    </row>
    <row r="550" spans="1:14" x14ac:dyDescent="0.25">
      <c r="A550" s="75"/>
      <c r="B550" s="78"/>
      <c r="C550" s="78"/>
      <c r="D550" s="20" t="s">
        <v>123</v>
      </c>
      <c r="E550" s="20"/>
      <c r="F550" s="21">
        <v>286.89999999999998</v>
      </c>
      <c r="G550" s="21">
        <v>286.89999999999998</v>
      </c>
      <c r="H550" s="21">
        <v>286.89999999999998</v>
      </c>
      <c r="I550" s="21">
        <v>291.2</v>
      </c>
      <c r="J550" s="20"/>
      <c r="K550" s="22"/>
      <c r="L550" s="22"/>
      <c r="M550" s="22"/>
      <c r="N550" s="23"/>
    </row>
    <row r="551" spans="1:14" x14ac:dyDescent="0.25">
      <c r="A551" s="75"/>
      <c r="B551" s="78"/>
      <c r="C551" s="78"/>
      <c r="D551" s="20" t="s">
        <v>32</v>
      </c>
      <c r="E551" s="20"/>
      <c r="F551" s="21">
        <v>88.6</v>
      </c>
      <c r="G551" s="21">
        <v>88.6</v>
      </c>
      <c r="H551" s="21">
        <v>0</v>
      </c>
      <c r="I551" s="21">
        <v>0</v>
      </c>
      <c r="J551" s="20"/>
      <c r="K551" s="22"/>
      <c r="L551" s="22"/>
      <c r="M551" s="22"/>
      <c r="N551" s="23"/>
    </row>
    <row r="552" spans="1:14" ht="15.75" thickBot="1" x14ac:dyDescent="0.3">
      <c r="A552" s="76"/>
      <c r="B552" s="79"/>
      <c r="C552" s="79"/>
      <c r="D552" s="20" t="s">
        <v>34</v>
      </c>
      <c r="E552" s="20"/>
      <c r="F552" s="21">
        <v>121</v>
      </c>
      <c r="G552" s="21">
        <v>121</v>
      </c>
      <c r="H552" s="21">
        <v>121</v>
      </c>
      <c r="I552" s="21">
        <v>185</v>
      </c>
      <c r="J552" s="20"/>
      <c r="K552" s="22"/>
      <c r="L552" s="22"/>
      <c r="M552" s="22"/>
      <c r="N552" s="23"/>
    </row>
    <row r="553" spans="1:14" x14ac:dyDescent="0.25">
      <c r="A553" s="74" t="s">
        <v>881</v>
      </c>
      <c r="B553" s="77" t="s">
        <v>882</v>
      </c>
      <c r="C553" s="77" t="s">
        <v>866</v>
      </c>
      <c r="D553" s="16"/>
      <c r="E553" s="16"/>
      <c r="F553" s="17">
        <f>SUM(F554:F557)</f>
        <v>1174.6999999999998</v>
      </c>
      <c r="G553" s="17">
        <f>SUM(G554:G557)</f>
        <v>1140.0999999999999</v>
      </c>
      <c r="H553" s="17">
        <f>SUM(H554:H557)</f>
        <v>1128.1999999999998</v>
      </c>
      <c r="I553" s="17">
        <f>SUM(I554:I557)</f>
        <v>1128.1999999999998</v>
      </c>
      <c r="J553" s="16" t="s">
        <v>867</v>
      </c>
      <c r="K553" s="18" t="s">
        <v>251</v>
      </c>
      <c r="L553" s="18">
        <v>8</v>
      </c>
      <c r="M553" s="18">
        <v>8</v>
      </c>
      <c r="N553" s="19">
        <v>8</v>
      </c>
    </row>
    <row r="554" spans="1:14" ht="30" x14ac:dyDescent="0.25">
      <c r="A554" s="75"/>
      <c r="B554" s="78"/>
      <c r="C554" s="78"/>
      <c r="D554" s="20" t="s">
        <v>123</v>
      </c>
      <c r="E554" s="20"/>
      <c r="F554" s="21">
        <v>328</v>
      </c>
      <c r="G554" s="21">
        <v>328</v>
      </c>
      <c r="H554" s="21">
        <v>328</v>
      </c>
      <c r="I554" s="21">
        <v>328</v>
      </c>
      <c r="J554" s="20" t="s">
        <v>883</v>
      </c>
      <c r="K554" s="22" t="s">
        <v>20</v>
      </c>
      <c r="L554" s="22">
        <v>100</v>
      </c>
      <c r="M554" s="22">
        <v>100</v>
      </c>
      <c r="N554" s="23">
        <v>100</v>
      </c>
    </row>
    <row r="555" spans="1:14" ht="30" x14ac:dyDescent="0.25">
      <c r="A555" s="75"/>
      <c r="B555" s="78"/>
      <c r="C555" s="78"/>
      <c r="D555" s="20" t="s">
        <v>34</v>
      </c>
      <c r="E555" s="20"/>
      <c r="F555" s="21">
        <v>454.3</v>
      </c>
      <c r="G555" s="21">
        <v>454.3</v>
      </c>
      <c r="H555" s="21">
        <v>454.3</v>
      </c>
      <c r="I555" s="21">
        <v>454.3</v>
      </c>
      <c r="J555" s="20" t="s">
        <v>884</v>
      </c>
      <c r="K555" s="22" t="s">
        <v>20</v>
      </c>
      <c r="L555" s="22">
        <v>100</v>
      </c>
      <c r="M555" s="22">
        <v>100</v>
      </c>
      <c r="N555" s="23">
        <v>100</v>
      </c>
    </row>
    <row r="556" spans="1:14" ht="28.5" customHeight="1" x14ac:dyDescent="0.25">
      <c r="A556" s="75"/>
      <c r="B556" s="78"/>
      <c r="C556" s="78"/>
      <c r="D556" s="20" t="s">
        <v>32</v>
      </c>
      <c r="E556" s="20"/>
      <c r="F556" s="21">
        <v>46.5</v>
      </c>
      <c r="G556" s="21">
        <v>11.9</v>
      </c>
      <c r="H556" s="21">
        <v>0</v>
      </c>
      <c r="I556" s="21">
        <v>0</v>
      </c>
      <c r="J556" s="20" t="s">
        <v>885</v>
      </c>
      <c r="K556" s="22" t="s">
        <v>20</v>
      </c>
      <c r="L556" s="22">
        <v>100</v>
      </c>
      <c r="M556" s="22">
        <v>100</v>
      </c>
      <c r="N556" s="23">
        <v>100</v>
      </c>
    </row>
    <row r="557" spans="1:14" ht="45.75" thickBot="1" x14ac:dyDescent="0.3">
      <c r="A557" s="76"/>
      <c r="B557" s="79"/>
      <c r="C557" s="79"/>
      <c r="D557" s="20" t="s">
        <v>475</v>
      </c>
      <c r="E557" s="20"/>
      <c r="F557" s="21">
        <v>345.9</v>
      </c>
      <c r="G557" s="21">
        <v>345.9</v>
      </c>
      <c r="H557" s="21">
        <v>345.9</v>
      </c>
      <c r="I557" s="21">
        <v>345.9</v>
      </c>
      <c r="J557" s="20" t="s">
        <v>886</v>
      </c>
      <c r="K557" s="22" t="s">
        <v>20</v>
      </c>
      <c r="L557" s="22">
        <v>80</v>
      </c>
      <c r="M557" s="22">
        <v>90</v>
      </c>
      <c r="N557" s="23">
        <v>95</v>
      </c>
    </row>
    <row r="558" spans="1:14" ht="30" x14ac:dyDescent="0.25">
      <c r="A558" s="74" t="s">
        <v>887</v>
      </c>
      <c r="B558" s="77" t="s">
        <v>888</v>
      </c>
      <c r="C558" s="77" t="s">
        <v>889</v>
      </c>
      <c r="D558" s="16"/>
      <c r="E558" s="16"/>
      <c r="F558" s="17">
        <f>SUM(F559:F566)</f>
        <v>8296.7999999999993</v>
      </c>
      <c r="G558" s="17">
        <f>SUM(G559:G566)+0.1</f>
        <v>9029.6</v>
      </c>
      <c r="H558" s="17">
        <f>SUM(H559:H566)</f>
        <v>8439.1999999999989</v>
      </c>
      <c r="I558" s="17">
        <f>SUM(I559:I566)</f>
        <v>9039.4</v>
      </c>
      <c r="J558" s="16" t="s">
        <v>890</v>
      </c>
      <c r="K558" s="18" t="s">
        <v>251</v>
      </c>
      <c r="L558" s="18">
        <v>25</v>
      </c>
      <c r="M558" s="18">
        <v>25</v>
      </c>
      <c r="N558" s="19">
        <v>25</v>
      </c>
    </row>
    <row r="559" spans="1:14" ht="30" x14ac:dyDescent="0.25">
      <c r="A559" s="75"/>
      <c r="B559" s="78"/>
      <c r="C559" s="78"/>
      <c r="D559" s="20" t="s">
        <v>118</v>
      </c>
      <c r="E559" s="20"/>
      <c r="F559" s="21">
        <v>53.7</v>
      </c>
      <c r="G559" s="21">
        <v>53.7</v>
      </c>
      <c r="H559" s="21">
        <v>47</v>
      </c>
      <c r="I559" s="21">
        <v>46</v>
      </c>
      <c r="J559" s="20" t="s">
        <v>891</v>
      </c>
      <c r="K559" s="22" t="s">
        <v>251</v>
      </c>
      <c r="L559" s="31">
        <v>23400</v>
      </c>
      <c r="M559" s="31">
        <v>23400</v>
      </c>
      <c r="N559" s="32">
        <v>23400</v>
      </c>
    </row>
    <row r="560" spans="1:14" ht="15" customHeight="1" x14ac:dyDescent="0.25">
      <c r="A560" s="75"/>
      <c r="B560" s="78"/>
      <c r="C560" s="78"/>
      <c r="D560" s="20" t="s">
        <v>125</v>
      </c>
      <c r="E560" s="20"/>
      <c r="F560" s="21">
        <v>890</v>
      </c>
      <c r="G560" s="21">
        <v>936</v>
      </c>
      <c r="H560" s="21">
        <v>910.5</v>
      </c>
      <c r="I560" s="21">
        <v>911</v>
      </c>
      <c r="J560" s="20" t="s">
        <v>892</v>
      </c>
      <c r="K560" s="22" t="s">
        <v>251</v>
      </c>
      <c r="L560" s="22">
        <v>14</v>
      </c>
      <c r="M560" s="22">
        <v>14</v>
      </c>
      <c r="N560" s="23">
        <v>14</v>
      </c>
    </row>
    <row r="561" spans="1:14" x14ac:dyDescent="0.25">
      <c r="A561" s="75"/>
      <c r="B561" s="78"/>
      <c r="C561" s="78"/>
      <c r="D561" s="20" t="s">
        <v>475</v>
      </c>
      <c r="E561" s="20"/>
      <c r="F561" s="21">
        <v>1007.8</v>
      </c>
      <c r="G561" s="21">
        <v>1007.8</v>
      </c>
      <c r="H561" s="21">
        <v>1007.8</v>
      </c>
      <c r="I561" s="21">
        <v>1007.8</v>
      </c>
      <c r="J561" s="20" t="s">
        <v>893</v>
      </c>
      <c r="K561" s="22" t="s">
        <v>251</v>
      </c>
      <c r="L561" s="22">
        <v>490</v>
      </c>
      <c r="M561" s="22">
        <v>500</v>
      </c>
      <c r="N561" s="23">
        <v>500</v>
      </c>
    </row>
    <row r="562" spans="1:14" ht="30" x14ac:dyDescent="0.25">
      <c r="A562" s="75"/>
      <c r="B562" s="78"/>
      <c r="C562" s="78"/>
      <c r="D562" s="20" t="s">
        <v>123</v>
      </c>
      <c r="E562" s="20"/>
      <c r="F562" s="21">
        <v>222.1</v>
      </c>
      <c r="G562" s="21">
        <v>477.6</v>
      </c>
      <c r="H562" s="21">
        <v>222.1</v>
      </c>
      <c r="I562" s="21">
        <v>222.1</v>
      </c>
      <c r="J562" s="20" t="s">
        <v>894</v>
      </c>
      <c r="K562" s="22" t="s">
        <v>251</v>
      </c>
      <c r="L562" s="22">
        <v>4</v>
      </c>
      <c r="M562" s="22">
        <v>6</v>
      </c>
      <c r="N562" s="23">
        <v>6</v>
      </c>
    </row>
    <row r="563" spans="1:14" ht="30" x14ac:dyDescent="0.25">
      <c r="A563" s="75"/>
      <c r="B563" s="78"/>
      <c r="C563" s="78"/>
      <c r="D563" s="20" t="s">
        <v>32</v>
      </c>
      <c r="E563" s="20"/>
      <c r="F563" s="21">
        <v>157.4</v>
      </c>
      <c r="G563" s="21">
        <v>588.6</v>
      </c>
      <c r="H563" s="21">
        <v>0</v>
      </c>
      <c r="I563" s="21">
        <v>0</v>
      </c>
      <c r="J563" s="20" t="s">
        <v>895</v>
      </c>
      <c r="K563" s="22" t="s">
        <v>251</v>
      </c>
      <c r="L563" s="22">
        <v>65</v>
      </c>
      <c r="M563" s="22">
        <v>100</v>
      </c>
      <c r="N563" s="23">
        <v>105</v>
      </c>
    </row>
    <row r="564" spans="1:14" x14ac:dyDescent="0.25">
      <c r="A564" s="75"/>
      <c r="B564" s="78"/>
      <c r="C564" s="78"/>
      <c r="D564" s="20" t="s">
        <v>34</v>
      </c>
      <c r="E564" s="20"/>
      <c r="F564" s="21">
        <v>5721</v>
      </c>
      <c r="G564" s="21">
        <v>5721</v>
      </c>
      <c r="H564" s="21">
        <v>6007</v>
      </c>
      <c r="I564" s="21">
        <v>6607.7</v>
      </c>
      <c r="J564" s="20" t="s">
        <v>896</v>
      </c>
      <c r="K564" s="22" t="s">
        <v>251</v>
      </c>
      <c r="L564" s="22">
        <v>4</v>
      </c>
      <c r="M564" s="22">
        <v>4</v>
      </c>
      <c r="N564" s="23">
        <v>4</v>
      </c>
    </row>
    <row r="565" spans="1:14" x14ac:dyDescent="0.25">
      <c r="A565" s="75"/>
      <c r="B565" s="78"/>
      <c r="C565" s="78"/>
      <c r="D565" s="20" t="s">
        <v>121</v>
      </c>
      <c r="E565" s="20"/>
      <c r="F565" s="21">
        <v>40.799999999999997</v>
      </c>
      <c r="G565" s="21">
        <v>40.799999999999997</v>
      </c>
      <c r="H565" s="21">
        <v>40.799999999999997</v>
      </c>
      <c r="I565" s="21">
        <v>40.799999999999997</v>
      </c>
      <c r="J565" s="20" t="s">
        <v>897</v>
      </c>
      <c r="K565" s="22" t="s">
        <v>251</v>
      </c>
      <c r="L565" s="22">
        <v>465</v>
      </c>
      <c r="M565" s="22">
        <v>465</v>
      </c>
      <c r="N565" s="23">
        <v>465</v>
      </c>
    </row>
    <row r="566" spans="1:14" ht="15.75" thickBot="1" x14ac:dyDescent="0.3">
      <c r="A566" s="76"/>
      <c r="B566" s="79"/>
      <c r="C566" s="79"/>
      <c r="D566" s="20" t="s">
        <v>128</v>
      </c>
      <c r="E566" s="20"/>
      <c r="F566" s="21">
        <v>204</v>
      </c>
      <c r="G566" s="21">
        <v>204</v>
      </c>
      <c r="H566" s="21">
        <v>204</v>
      </c>
      <c r="I566" s="21">
        <v>204</v>
      </c>
      <c r="J566" s="20"/>
      <c r="K566" s="22"/>
      <c r="L566" s="22"/>
      <c r="M566" s="22"/>
      <c r="N566" s="23"/>
    </row>
    <row r="567" spans="1:14" x14ac:dyDescent="0.25">
      <c r="A567" s="74" t="s">
        <v>898</v>
      </c>
      <c r="B567" s="77" t="s">
        <v>899</v>
      </c>
      <c r="C567" s="77" t="s">
        <v>866</v>
      </c>
      <c r="D567" s="16"/>
      <c r="E567" s="16"/>
      <c r="F567" s="17">
        <f>SUM(F568:F569)</f>
        <v>1136.2</v>
      </c>
      <c r="G567" s="17">
        <f>SUM(G568:G569)</f>
        <v>1136.2</v>
      </c>
      <c r="H567" s="17">
        <f>SUM(H568:H569)</f>
        <v>1136.2</v>
      </c>
      <c r="I567" s="17">
        <f>SUM(I568:I569)</f>
        <v>1000</v>
      </c>
      <c r="J567" s="16" t="s">
        <v>900</v>
      </c>
      <c r="K567" s="18" t="s">
        <v>251</v>
      </c>
      <c r="L567" s="18">
        <v>220</v>
      </c>
      <c r="M567" s="18">
        <v>220</v>
      </c>
      <c r="N567" s="19">
        <v>220</v>
      </c>
    </row>
    <row r="568" spans="1:14" x14ac:dyDescent="0.25">
      <c r="A568" s="75"/>
      <c r="B568" s="78"/>
      <c r="C568" s="78"/>
      <c r="D568" s="20" t="s">
        <v>32</v>
      </c>
      <c r="E568" s="20"/>
      <c r="F568" s="21">
        <v>1136.2</v>
      </c>
      <c r="G568" s="21">
        <v>1136.2</v>
      </c>
      <c r="H568" s="21">
        <v>0</v>
      </c>
      <c r="I568" s="21">
        <v>0</v>
      </c>
      <c r="J568" s="20" t="s">
        <v>901</v>
      </c>
      <c r="K568" s="22" t="s">
        <v>251</v>
      </c>
      <c r="L568" s="22">
        <v>20</v>
      </c>
      <c r="M568" s="22">
        <v>22</v>
      </c>
      <c r="N568" s="23">
        <v>22</v>
      </c>
    </row>
    <row r="569" spans="1:14" ht="30.75" thickBot="1" x14ac:dyDescent="0.3">
      <c r="A569" s="76"/>
      <c r="B569" s="79"/>
      <c r="C569" s="79"/>
      <c r="D569" s="20" t="s">
        <v>34</v>
      </c>
      <c r="E569" s="20"/>
      <c r="F569" s="21">
        <v>0</v>
      </c>
      <c r="G569" s="21">
        <v>0</v>
      </c>
      <c r="H569" s="21">
        <v>1136.2</v>
      </c>
      <c r="I569" s="21">
        <v>1000</v>
      </c>
      <c r="J569" s="20" t="s">
        <v>902</v>
      </c>
      <c r="K569" s="22" t="s">
        <v>251</v>
      </c>
      <c r="L569" s="22">
        <v>30</v>
      </c>
      <c r="M569" s="22">
        <v>30</v>
      </c>
      <c r="N569" s="23">
        <v>30</v>
      </c>
    </row>
    <row r="570" spans="1:14" ht="30" x14ac:dyDescent="0.25">
      <c r="A570" s="74" t="s">
        <v>903</v>
      </c>
      <c r="B570" s="77" t="s">
        <v>904</v>
      </c>
      <c r="C570" s="77" t="s">
        <v>866</v>
      </c>
      <c r="D570" s="16"/>
      <c r="E570" s="16"/>
      <c r="F570" s="17">
        <f>SUM(F571:F572)</f>
        <v>351.70000000000005</v>
      </c>
      <c r="G570" s="17">
        <f>SUM(G571:G572)</f>
        <v>351.70000000000005</v>
      </c>
      <c r="H570" s="17">
        <f>SUM(H571:H572)</f>
        <v>351.70000000000005</v>
      </c>
      <c r="I570" s="17">
        <f>SUM(I571:I572)</f>
        <v>351.70000000000005</v>
      </c>
      <c r="J570" s="16" t="s">
        <v>905</v>
      </c>
      <c r="K570" s="18" t="s">
        <v>251</v>
      </c>
      <c r="L570" s="18">
        <v>13</v>
      </c>
      <c r="M570" s="18">
        <v>14</v>
      </c>
      <c r="N570" s="19">
        <v>14</v>
      </c>
    </row>
    <row r="571" spans="1:14" x14ac:dyDescent="0.25">
      <c r="A571" s="75"/>
      <c r="B571" s="78"/>
      <c r="C571" s="78"/>
      <c r="D571" s="20" t="s">
        <v>34</v>
      </c>
      <c r="E571" s="20"/>
      <c r="F571" s="21">
        <v>138.4</v>
      </c>
      <c r="G571" s="21">
        <v>138.4</v>
      </c>
      <c r="H571" s="21">
        <v>138.4</v>
      </c>
      <c r="I571" s="21">
        <v>138.4</v>
      </c>
      <c r="J571" s="20" t="s">
        <v>906</v>
      </c>
      <c r="K571" s="22" t="s">
        <v>251</v>
      </c>
      <c r="L571" s="22">
        <v>420</v>
      </c>
      <c r="M571" s="22">
        <v>430</v>
      </c>
      <c r="N571" s="23">
        <v>440</v>
      </c>
    </row>
    <row r="572" spans="1:14" ht="15.75" thickBot="1" x14ac:dyDescent="0.3">
      <c r="A572" s="76"/>
      <c r="B572" s="79"/>
      <c r="C572" s="79"/>
      <c r="D572" s="20" t="s">
        <v>123</v>
      </c>
      <c r="E572" s="20"/>
      <c r="F572" s="21">
        <v>213.3</v>
      </c>
      <c r="G572" s="21">
        <v>213.3</v>
      </c>
      <c r="H572" s="21">
        <v>213.3</v>
      </c>
      <c r="I572" s="21">
        <v>213.3</v>
      </c>
      <c r="J572" s="20"/>
      <c r="K572" s="22"/>
      <c r="L572" s="22"/>
      <c r="M572" s="22"/>
      <c r="N572" s="23"/>
    </row>
    <row r="573" spans="1:14" x14ac:dyDescent="0.25">
      <c r="A573" s="74" t="s">
        <v>907</v>
      </c>
      <c r="B573" s="77" t="s">
        <v>908</v>
      </c>
      <c r="C573" s="77" t="s">
        <v>866</v>
      </c>
      <c r="D573" s="16"/>
      <c r="E573" s="16"/>
      <c r="F573" s="17">
        <f>SUM(F574:F575)</f>
        <v>363.5</v>
      </c>
      <c r="G573" s="17">
        <f>SUM(G574:G575)</f>
        <v>363.5</v>
      </c>
      <c r="H573" s="17">
        <f>SUM(H574:H575)</f>
        <v>363.5</v>
      </c>
      <c r="I573" s="17">
        <f>SUM(I574:I575)</f>
        <v>363.5</v>
      </c>
      <c r="J573" s="16" t="s">
        <v>909</v>
      </c>
      <c r="K573" s="18" t="s">
        <v>251</v>
      </c>
      <c r="L573" s="18">
        <v>260</v>
      </c>
      <c r="M573" s="18">
        <v>270</v>
      </c>
      <c r="N573" s="19">
        <v>280</v>
      </c>
    </row>
    <row r="574" spans="1:14" ht="30" x14ac:dyDescent="0.25">
      <c r="A574" s="75"/>
      <c r="B574" s="78"/>
      <c r="C574" s="78"/>
      <c r="D574" s="20" t="s">
        <v>34</v>
      </c>
      <c r="E574" s="20"/>
      <c r="F574" s="21">
        <v>181.8</v>
      </c>
      <c r="G574" s="21">
        <v>181.8</v>
      </c>
      <c r="H574" s="21">
        <v>181.8</v>
      </c>
      <c r="I574" s="21">
        <v>181.8</v>
      </c>
      <c r="J574" s="20" t="s">
        <v>910</v>
      </c>
      <c r="K574" s="22" t="s">
        <v>251</v>
      </c>
      <c r="L574" s="22">
        <v>12</v>
      </c>
      <c r="M574" s="22">
        <v>13</v>
      </c>
      <c r="N574" s="23">
        <v>13</v>
      </c>
    </row>
    <row r="575" spans="1:14" ht="30.75" thickBot="1" x14ac:dyDescent="0.3">
      <c r="A575" s="76"/>
      <c r="B575" s="79"/>
      <c r="C575" s="79"/>
      <c r="D575" s="20" t="s">
        <v>123</v>
      </c>
      <c r="E575" s="20"/>
      <c r="F575" s="21">
        <v>181.7</v>
      </c>
      <c r="G575" s="21">
        <v>181.7</v>
      </c>
      <c r="H575" s="21">
        <v>181.7</v>
      </c>
      <c r="I575" s="21">
        <v>181.7</v>
      </c>
      <c r="J575" s="20" t="s">
        <v>911</v>
      </c>
      <c r="K575" s="22" t="s">
        <v>20</v>
      </c>
      <c r="L575" s="22">
        <v>12</v>
      </c>
      <c r="M575" s="22">
        <v>12</v>
      </c>
      <c r="N575" s="23">
        <v>13</v>
      </c>
    </row>
    <row r="576" spans="1:14" x14ac:dyDescent="0.25">
      <c r="A576" s="74" t="s">
        <v>912</v>
      </c>
      <c r="B576" s="77" t="s">
        <v>913</v>
      </c>
      <c r="C576" s="77" t="s">
        <v>914</v>
      </c>
      <c r="D576" s="16" t="s">
        <v>34</v>
      </c>
      <c r="E576" s="16"/>
      <c r="F576" s="17">
        <f>SUM(F577:F577)+200</f>
        <v>200</v>
      </c>
      <c r="G576" s="17">
        <f>SUM(G577:G577)+200</f>
        <v>200</v>
      </c>
      <c r="H576" s="17">
        <f>SUM(H577:H577)+200</f>
        <v>200</v>
      </c>
      <c r="I576" s="17">
        <f>SUM(I577:I577)+200</f>
        <v>200</v>
      </c>
      <c r="J576" s="16" t="s">
        <v>915</v>
      </c>
      <c r="K576" s="18" t="s">
        <v>251</v>
      </c>
      <c r="L576" s="18">
        <v>800</v>
      </c>
      <c r="M576" s="18">
        <v>800</v>
      </c>
      <c r="N576" s="19">
        <v>800</v>
      </c>
    </row>
    <row r="577" spans="1:14" ht="30.75" thickBot="1" x14ac:dyDescent="0.3">
      <c r="A577" s="76"/>
      <c r="B577" s="79"/>
      <c r="C577" s="79"/>
      <c r="D577" s="20"/>
      <c r="E577" s="20"/>
      <c r="F577" s="21">
        <v>0</v>
      </c>
      <c r="G577" s="21">
        <v>0</v>
      </c>
      <c r="H577" s="21">
        <v>0</v>
      </c>
      <c r="I577" s="21">
        <v>0</v>
      </c>
      <c r="J577" s="20" t="s">
        <v>916</v>
      </c>
      <c r="K577" s="22" t="s">
        <v>20</v>
      </c>
      <c r="L577" s="22">
        <v>100</v>
      </c>
      <c r="M577" s="22">
        <v>100</v>
      </c>
      <c r="N577" s="23">
        <v>100</v>
      </c>
    </row>
    <row r="578" spans="1:14" x14ac:dyDescent="0.25">
      <c r="A578" s="74" t="s">
        <v>917</v>
      </c>
      <c r="B578" s="77" t="s">
        <v>918</v>
      </c>
      <c r="C578" s="77" t="s">
        <v>866</v>
      </c>
      <c r="D578" s="16"/>
      <c r="E578" s="16"/>
      <c r="F578" s="17">
        <f>SUM(F579:F580)</f>
        <v>50.3</v>
      </c>
      <c r="G578" s="17">
        <f>SUM(G579:G580)</f>
        <v>50.3</v>
      </c>
      <c r="H578" s="17">
        <f>SUM(H579:H580)</f>
        <v>50</v>
      </c>
      <c r="I578" s="17">
        <f>SUM(I579:I580)</f>
        <v>50</v>
      </c>
      <c r="J578" s="16" t="s">
        <v>919</v>
      </c>
      <c r="K578" s="18" t="s">
        <v>251</v>
      </c>
      <c r="L578" s="18">
        <v>400</v>
      </c>
      <c r="M578" s="18">
        <v>845</v>
      </c>
      <c r="N578" s="19">
        <v>845</v>
      </c>
    </row>
    <row r="579" spans="1:14" ht="45" x14ac:dyDescent="0.25">
      <c r="A579" s="75"/>
      <c r="B579" s="78"/>
      <c r="C579" s="78"/>
      <c r="D579" s="20" t="s">
        <v>32</v>
      </c>
      <c r="E579" s="20"/>
      <c r="F579" s="21">
        <v>0.3</v>
      </c>
      <c r="G579" s="21">
        <v>0.3</v>
      </c>
      <c r="H579" s="21">
        <v>0</v>
      </c>
      <c r="I579" s="21">
        <v>0</v>
      </c>
      <c r="J579" s="20" t="s">
        <v>920</v>
      </c>
      <c r="K579" s="22" t="s">
        <v>251</v>
      </c>
      <c r="L579" s="22">
        <v>2</v>
      </c>
      <c r="M579" s="22">
        <v>2</v>
      </c>
      <c r="N579" s="23">
        <v>2</v>
      </c>
    </row>
    <row r="580" spans="1:14" ht="15.75" thickBot="1" x14ac:dyDescent="0.3">
      <c r="A580" s="76"/>
      <c r="B580" s="79"/>
      <c r="C580" s="79"/>
      <c r="D580" s="20" t="s">
        <v>123</v>
      </c>
      <c r="E580" s="20"/>
      <c r="F580" s="21">
        <v>50</v>
      </c>
      <c r="G580" s="21">
        <v>50</v>
      </c>
      <c r="H580" s="21">
        <v>50</v>
      </c>
      <c r="I580" s="21">
        <v>50</v>
      </c>
      <c r="J580" s="20"/>
      <c r="K580" s="22"/>
      <c r="L580" s="22"/>
      <c r="M580" s="22"/>
      <c r="N580" s="23"/>
    </row>
    <row r="581" spans="1:14" x14ac:dyDescent="0.25">
      <c r="A581" s="74" t="s">
        <v>921</v>
      </c>
      <c r="B581" s="77" t="s">
        <v>922</v>
      </c>
      <c r="C581" s="77" t="s">
        <v>923</v>
      </c>
      <c r="D581" s="16"/>
      <c r="E581" s="16"/>
      <c r="F581" s="17">
        <f>SUM(F582:F584)</f>
        <v>605.6</v>
      </c>
      <c r="G581" s="17">
        <f>SUM(G582:G584)</f>
        <v>605.6</v>
      </c>
      <c r="H581" s="17">
        <f>SUM(H582:H584)</f>
        <v>605.6</v>
      </c>
      <c r="I581" s="17">
        <f>SUM(I582:I584)</f>
        <v>605.6</v>
      </c>
      <c r="J581" s="16" t="s">
        <v>924</v>
      </c>
      <c r="K581" s="18" t="s">
        <v>251</v>
      </c>
      <c r="L581" s="18">
        <v>8</v>
      </c>
      <c r="M581" s="18">
        <v>8</v>
      </c>
      <c r="N581" s="19">
        <v>9</v>
      </c>
    </row>
    <row r="582" spans="1:14" x14ac:dyDescent="0.25">
      <c r="A582" s="75"/>
      <c r="B582" s="78"/>
      <c r="C582" s="78"/>
      <c r="D582" s="20" t="s">
        <v>34</v>
      </c>
      <c r="E582" s="20"/>
      <c r="F582" s="21">
        <v>472.7</v>
      </c>
      <c r="G582" s="21">
        <v>472.7</v>
      </c>
      <c r="H582" s="21">
        <v>472.7</v>
      </c>
      <c r="I582" s="21">
        <v>472.7</v>
      </c>
      <c r="J582" s="20" t="s">
        <v>925</v>
      </c>
      <c r="K582" s="22" t="s">
        <v>251</v>
      </c>
      <c r="L582" s="22">
        <v>25</v>
      </c>
      <c r="M582" s="22">
        <v>25</v>
      </c>
      <c r="N582" s="23">
        <v>25</v>
      </c>
    </row>
    <row r="583" spans="1:14" x14ac:dyDescent="0.25">
      <c r="A583" s="75"/>
      <c r="B583" s="78"/>
      <c r="C583" s="78"/>
      <c r="D583" s="20" t="s">
        <v>128</v>
      </c>
      <c r="E583" s="20"/>
      <c r="F583" s="21">
        <v>132.9</v>
      </c>
      <c r="G583" s="21">
        <v>132.9</v>
      </c>
      <c r="H583" s="21">
        <v>132.9</v>
      </c>
      <c r="I583" s="21">
        <v>132.9</v>
      </c>
      <c r="J583" s="20" t="s">
        <v>926</v>
      </c>
      <c r="K583" s="22" t="s">
        <v>251</v>
      </c>
      <c r="L583" s="22">
        <v>24</v>
      </c>
      <c r="M583" s="22">
        <v>25</v>
      </c>
      <c r="N583" s="23">
        <v>26</v>
      </c>
    </row>
    <row r="584" spans="1:14" ht="15.75" thickBot="1" x14ac:dyDescent="0.3">
      <c r="A584" s="76"/>
      <c r="B584" s="79"/>
      <c r="C584" s="79"/>
      <c r="D584" s="20"/>
      <c r="E584" s="20"/>
      <c r="F584" s="21">
        <v>0</v>
      </c>
      <c r="G584" s="21">
        <v>0</v>
      </c>
      <c r="H584" s="21">
        <v>0</v>
      </c>
      <c r="I584" s="21">
        <v>0</v>
      </c>
      <c r="J584" s="20" t="s">
        <v>927</v>
      </c>
      <c r="K584" s="22" t="s">
        <v>251</v>
      </c>
      <c r="L584" s="22">
        <v>146</v>
      </c>
      <c r="M584" s="22">
        <v>150</v>
      </c>
      <c r="N584" s="23">
        <v>150</v>
      </c>
    </row>
    <row r="585" spans="1:14" ht="41.25" customHeight="1" thickBot="1" x14ac:dyDescent="0.3">
      <c r="A585" s="24" t="s">
        <v>928</v>
      </c>
      <c r="B585" s="25" t="s">
        <v>929</v>
      </c>
      <c r="C585" s="16" t="s">
        <v>930</v>
      </c>
      <c r="D585" s="16" t="s">
        <v>323</v>
      </c>
      <c r="E585" s="16"/>
      <c r="F585" s="26">
        <v>47.5</v>
      </c>
      <c r="G585" s="26">
        <v>47.5</v>
      </c>
      <c r="H585" s="26">
        <v>0</v>
      </c>
      <c r="I585" s="26">
        <v>0</v>
      </c>
      <c r="J585" s="16" t="s">
        <v>931</v>
      </c>
      <c r="K585" s="18" t="s">
        <v>251</v>
      </c>
      <c r="L585" s="36">
        <v>5000</v>
      </c>
      <c r="M585" s="18"/>
      <c r="N585" s="19"/>
    </row>
    <row r="586" spans="1:14" ht="40.5" customHeight="1" x14ac:dyDescent="0.25">
      <c r="A586" s="74" t="s">
        <v>932</v>
      </c>
      <c r="B586" s="77" t="s">
        <v>933</v>
      </c>
      <c r="C586" s="77" t="s">
        <v>866</v>
      </c>
      <c r="D586" s="16"/>
      <c r="E586" s="16"/>
      <c r="F586" s="17">
        <f>SUM(F587:F589)</f>
        <v>0</v>
      </c>
      <c r="G586" s="17">
        <f>SUM(G587:G589)</f>
        <v>87.9</v>
      </c>
      <c r="H586" s="17">
        <f>SUM(H587:H589)</f>
        <v>104.8</v>
      </c>
      <c r="I586" s="17">
        <f>SUM(I587:I589)</f>
        <v>104.8</v>
      </c>
      <c r="J586" s="16" t="s">
        <v>934</v>
      </c>
      <c r="K586" s="18" t="s">
        <v>251</v>
      </c>
      <c r="L586" s="18">
        <v>40</v>
      </c>
      <c r="M586" s="18">
        <v>60</v>
      </c>
      <c r="N586" s="19">
        <v>80</v>
      </c>
    </row>
    <row r="587" spans="1:14" ht="30" x14ac:dyDescent="0.25">
      <c r="A587" s="75"/>
      <c r="B587" s="78"/>
      <c r="C587" s="78"/>
      <c r="D587" s="20" t="s">
        <v>323</v>
      </c>
      <c r="E587" s="20"/>
      <c r="F587" s="21">
        <v>0</v>
      </c>
      <c r="G587" s="21">
        <v>53.3</v>
      </c>
      <c r="H587" s="21">
        <v>64</v>
      </c>
      <c r="I587" s="21">
        <v>64</v>
      </c>
      <c r="J587" s="20" t="s">
        <v>935</v>
      </c>
      <c r="K587" s="22" t="s">
        <v>251</v>
      </c>
      <c r="L587" s="22">
        <v>100</v>
      </c>
      <c r="M587" s="22">
        <v>120</v>
      </c>
      <c r="N587" s="23">
        <v>140</v>
      </c>
    </row>
    <row r="588" spans="1:14" ht="45" x14ac:dyDescent="0.25">
      <c r="A588" s="75"/>
      <c r="B588" s="78"/>
      <c r="C588" s="78"/>
      <c r="D588" s="20" t="s">
        <v>34</v>
      </c>
      <c r="E588" s="20"/>
      <c r="F588" s="21">
        <v>0</v>
      </c>
      <c r="G588" s="21">
        <v>0</v>
      </c>
      <c r="H588" s="21">
        <v>40.799999999999997</v>
      </c>
      <c r="I588" s="21">
        <v>40.799999999999997</v>
      </c>
      <c r="J588" s="20" t="s">
        <v>936</v>
      </c>
      <c r="K588" s="22" t="s">
        <v>251</v>
      </c>
      <c r="L588" s="22">
        <v>1</v>
      </c>
      <c r="M588" s="22">
        <v>1</v>
      </c>
      <c r="N588" s="23">
        <v>1</v>
      </c>
    </row>
    <row r="589" spans="1:14" ht="45.75" thickBot="1" x14ac:dyDescent="0.3">
      <c r="A589" s="76"/>
      <c r="B589" s="79"/>
      <c r="C589" s="79"/>
      <c r="D589" s="20" t="s">
        <v>32</v>
      </c>
      <c r="E589" s="20"/>
      <c r="F589" s="21">
        <v>0</v>
      </c>
      <c r="G589" s="21">
        <v>34.6</v>
      </c>
      <c r="H589" s="21">
        <v>0</v>
      </c>
      <c r="I589" s="21">
        <v>0</v>
      </c>
      <c r="J589" s="20" t="s">
        <v>937</v>
      </c>
      <c r="K589" s="22" t="s">
        <v>251</v>
      </c>
      <c r="L589" s="22">
        <v>12</v>
      </c>
      <c r="M589" s="22">
        <v>12</v>
      </c>
      <c r="N589" s="23">
        <v>12</v>
      </c>
    </row>
    <row r="590" spans="1:14" ht="27" customHeight="1" thickBot="1" x14ac:dyDescent="0.3">
      <c r="A590" s="14" t="s">
        <v>938</v>
      </c>
      <c r="B590" s="89" t="s">
        <v>939</v>
      </c>
      <c r="C590" s="90"/>
      <c r="D590" s="90"/>
      <c r="E590" s="91"/>
      <c r="F590" s="15">
        <f>F591+F592+F593+F595+F598</f>
        <v>463.6</v>
      </c>
      <c r="G590" s="15">
        <f>G591+G592+G593+G595+G598</f>
        <v>463.6</v>
      </c>
      <c r="H590" s="15">
        <f>H591+H592+H593+H595+H598</f>
        <v>1500</v>
      </c>
      <c r="I590" s="15">
        <f>I591+I592+I593+I595+I598</f>
        <v>1500</v>
      </c>
      <c r="J590" s="71"/>
      <c r="K590" s="72"/>
      <c r="L590" s="72"/>
      <c r="M590" s="72"/>
      <c r="N590" s="73"/>
    </row>
    <row r="591" spans="1:14" ht="75.75" thickBot="1" x14ac:dyDescent="0.3">
      <c r="A591" s="24" t="s">
        <v>940</v>
      </c>
      <c r="B591" s="25" t="s">
        <v>941</v>
      </c>
      <c r="C591" s="16" t="s">
        <v>942</v>
      </c>
      <c r="D591" s="16" t="s">
        <v>32</v>
      </c>
      <c r="E591" s="16"/>
      <c r="F591" s="26">
        <v>3</v>
      </c>
      <c r="G591" s="26">
        <v>3</v>
      </c>
      <c r="H591" s="26">
        <v>0</v>
      </c>
      <c r="I591" s="26">
        <v>0</v>
      </c>
      <c r="J591" s="16" t="s">
        <v>943</v>
      </c>
      <c r="K591" s="18" t="s">
        <v>20</v>
      </c>
      <c r="L591" s="18">
        <v>100</v>
      </c>
      <c r="M591" s="18"/>
      <c r="N591" s="19"/>
    </row>
    <row r="592" spans="1:14" ht="90.75" thickBot="1" x14ac:dyDescent="0.3">
      <c r="A592" s="24" t="s">
        <v>944</v>
      </c>
      <c r="B592" s="25" t="s">
        <v>945</v>
      </c>
      <c r="C592" s="16" t="s">
        <v>946</v>
      </c>
      <c r="D592" s="16" t="s">
        <v>32</v>
      </c>
      <c r="E592" s="16"/>
      <c r="F592" s="26">
        <v>135.19999999999999</v>
      </c>
      <c r="G592" s="26">
        <v>135.19999999999999</v>
      </c>
      <c r="H592" s="26">
        <v>0</v>
      </c>
      <c r="I592" s="26">
        <v>0</v>
      </c>
      <c r="J592" s="16" t="s">
        <v>744</v>
      </c>
      <c r="K592" s="18" t="s">
        <v>25</v>
      </c>
      <c r="L592" s="18">
        <v>1</v>
      </c>
      <c r="M592" s="18"/>
      <c r="N592" s="19"/>
    </row>
    <row r="593" spans="1:14" ht="54" customHeight="1" x14ac:dyDescent="0.25">
      <c r="A593" s="74" t="s">
        <v>947</v>
      </c>
      <c r="B593" s="77" t="s">
        <v>948</v>
      </c>
      <c r="C593" s="77" t="s">
        <v>949</v>
      </c>
      <c r="D593" s="16"/>
      <c r="E593" s="16"/>
      <c r="F593" s="17">
        <f>SUM(F594:F594)</f>
        <v>175.4</v>
      </c>
      <c r="G593" s="17">
        <f>SUM(G594:G594)</f>
        <v>175.4</v>
      </c>
      <c r="H593" s="17">
        <f>SUM(H594:H594)</f>
        <v>0</v>
      </c>
      <c r="I593" s="17">
        <f>SUM(I594:I594)</f>
        <v>0</v>
      </c>
      <c r="J593" s="16" t="s">
        <v>204</v>
      </c>
      <c r="K593" s="18" t="s">
        <v>25</v>
      </c>
      <c r="L593" s="18">
        <v>1</v>
      </c>
      <c r="M593" s="18"/>
      <c r="N593" s="19"/>
    </row>
    <row r="594" spans="1:14" ht="15.75" thickBot="1" x14ac:dyDescent="0.3">
      <c r="A594" s="76"/>
      <c r="B594" s="79"/>
      <c r="C594" s="79"/>
      <c r="D594" s="20" t="s">
        <v>32</v>
      </c>
      <c r="E594" s="20"/>
      <c r="F594" s="21">
        <v>175.4</v>
      </c>
      <c r="G594" s="21">
        <v>175.4</v>
      </c>
      <c r="H594" s="21">
        <v>0</v>
      </c>
      <c r="I594" s="21">
        <v>0</v>
      </c>
      <c r="J594" s="20" t="s">
        <v>950</v>
      </c>
      <c r="K594" s="22" t="s">
        <v>209</v>
      </c>
      <c r="L594" s="22">
        <v>4</v>
      </c>
      <c r="M594" s="22"/>
      <c r="N594" s="23"/>
    </row>
    <row r="595" spans="1:14" ht="24.75" customHeight="1" x14ac:dyDescent="0.25">
      <c r="A595" s="74" t="s">
        <v>951</v>
      </c>
      <c r="B595" s="77" t="s">
        <v>952</v>
      </c>
      <c r="C595" s="77" t="s">
        <v>953</v>
      </c>
      <c r="D595" s="16"/>
      <c r="E595" s="16"/>
      <c r="F595" s="17">
        <f>SUM(F596:F597)</f>
        <v>0</v>
      </c>
      <c r="G595" s="17">
        <f>SUM(G596:G597)</f>
        <v>0</v>
      </c>
      <c r="H595" s="17">
        <f>SUM(H596:H597)</f>
        <v>1500</v>
      </c>
      <c r="I595" s="17">
        <f>SUM(I596:I597)</f>
        <v>1500</v>
      </c>
      <c r="J595" s="16" t="s">
        <v>954</v>
      </c>
      <c r="K595" s="18" t="s">
        <v>251</v>
      </c>
      <c r="L595" s="18"/>
      <c r="M595" s="18">
        <v>7</v>
      </c>
      <c r="N595" s="19">
        <v>6</v>
      </c>
    </row>
    <row r="596" spans="1:14" x14ac:dyDescent="0.25">
      <c r="A596" s="75"/>
      <c r="B596" s="78"/>
      <c r="C596" s="78"/>
      <c r="D596" s="20" t="s">
        <v>323</v>
      </c>
      <c r="E596" s="20"/>
      <c r="F596" s="21">
        <v>0</v>
      </c>
      <c r="G596" s="21">
        <v>0</v>
      </c>
      <c r="H596" s="21">
        <v>1275</v>
      </c>
      <c r="I596" s="21">
        <v>1275</v>
      </c>
      <c r="J596" s="20" t="s">
        <v>955</v>
      </c>
      <c r="K596" s="22" t="s">
        <v>251</v>
      </c>
      <c r="L596" s="22"/>
      <c r="M596" s="22"/>
      <c r="N596" s="23">
        <v>2</v>
      </c>
    </row>
    <row r="597" spans="1:14" ht="15.75" thickBot="1" x14ac:dyDescent="0.3">
      <c r="A597" s="76"/>
      <c r="B597" s="79"/>
      <c r="C597" s="79"/>
      <c r="D597" s="20" t="s">
        <v>34</v>
      </c>
      <c r="E597" s="20"/>
      <c r="F597" s="21"/>
      <c r="G597" s="21"/>
      <c r="H597" s="21">
        <v>225</v>
      </c>
      <c r="I597" s="21">
        <v>225</v>
      </c>
      <c r="J597" s="20"/>
      <c r="K597" s="22"/>
      <c r="L597" s="22"/>
      <c r="M597" s="22"/>
      <c r="N597" s="23"/>
    </row>
    <row r="598" spans="1:14" ht="41.25" customHeight="1" thickBot="1" x14ac:dyDescent="0.3">
      <c r="A598" s="24" t="s">
        <v>956</v>
      </c>
      <c r="B598" s="25" t="s">
        <v>957</v>
      </c>
      <c r="C598" s="16" t="s">
        <v>930</v>
      </c>
      <c r="D598" s="16" t="s">
        <v>34</v>
      </c>
      <c r="E598" s="16"/>
      <c r="F598" s="26">
        <v>150</v>
      </c>
      <c r="G598" s="26">
        <v>150</v>
      </c>
      <c r="H598" s="26">
        <v>0</v>
      </c>
      <c r="I598" s="26">
        <v>0</v>
      </c>
      <c r="J598" s="16" t="s">
        <v>958</v>
      </c>
      <c r="K598" s="18" t="s">
        <v>20</v>
      </c>
      <c r="L598" s="18">
        <v>100</v>
      </c>
      <c r="M598" s="18"/>
      <c r="N598" s="19"/>
    </row>
    <row r="599" spans="1:14" ht="27" customHeight="1" thickBot="1" x14ac:dyDescent="0.3">
      <c r="A599" s="14" t="s">
        <v>959</v>
      </c>
      <c r="B599" s="89" t="s">
        <v>960</v>
      </c>
      <c r="C599" s="90"/>
      <c r="D599" s="90"/>
      <c r="E599" s="91"/>
      <c r="F599" s="15">
        <f>F600+F605+F607+F609+F610+F611+F614+F617</f>
        <v>52693.899999999994</v>
      </c>
      <c r="G599" s="15">
        <f>G600+G605+G607+G609+G610+G611+G614+G617</f>
        <v>52693.899999999994</v>
      </c>
      <c r="H599" s="15">
        <f>H600+H605+H607+H609+H610+H611+H614+H617</f>
        <v>52424.799999999988</v>
      </c>
      <c r="I599" s="15">
        <f>I600+I605+I607+I609+I610+I611+I614+I617</f>
        <v>52476.799999999988</v>
      </c>
      <c r="J599" s="71"/>
      <c r="K599" s="72"/>
      <c r="L599" s="72"/>
      <c r="M599" s="72"/>
      <c r="N599" s="73"/>
    </row>
    <row r="600" spans="1:14" ht="30" x14ac:dyDescent="0.25">
      <c r="A600" s="74" t="s">
        <v>961</v>
      </c>
      <c r="B600" s="77" t="s">
        <v>962</v>
      </c>
      <c r="C600" s="77" t="s">
        <v>963</v>
      </c>
      <c r="D600" s="16"/>
      <c r="E600" s="16"/>
      <c r="F600" s="17">
        <f>SUM(F601:F604)</f>
        <v>6277.3</v>
      </c>
      <c r="G600" s="17">
        <f>SUM(G601:G604)</f>
        <v>6277.3</v>
      </c>
      <c r="H600" s="17">
        <f>SUM(H601:H604)</f>
        <v>6057.3</v>
      </c>
      <c r="I600" s="17">
        <f>SUM(I601:I604)</f>
        <v>6057.3</v>
      </c>
      <c r="J600" s="16" t="s">
        <v>964</v>
      </c>
      <c r="K600" s="18" t="s">
        <v>251</v>
      </c>
      <c r="L600" s="36">
        <v>19500</v>
      </c>
      <c r="M600" s="36">
        <v>19000</v>
      </c>
      <c r="N600" s="37">
        <v>19000</v>
      </c>
    </row>
    <row r="601" spans="1:14" x14ac:dyDescent="0.25">
      <c r="A601" s="75"/>
      <c r="B601" s="78"/>
      <c r="C601" s="78"/>
      <c r="D601" s="20" t="s">
        <v>123</v>
      </c>
      <c r="E601" s="20"/>
      <c r="F601" s="21">
        <v>890</v>
      </c>
      <c r="G601" s="21">
        <v>890</v>
      </c>
      <c r="H601" s="21">
        <v>670</v>
      </c>
      <c r="I601" s="21">
        <v>670</v>
      </c>
      <c r="J601" s="20" t="s">
        <v>965</v>
      </c>
      <c r="K601" s="22" t="s">
        <v>251</v>
      </c>
      <c r="L601" s="31">
        <v>1650</v>
      </c>
      <c r="M601" s="31">
        <v>1700</v>
      </c>
      <c r="N601" s="32">
        <v>1700</v>
      </c>
    </row>
    <row r="602" spans="1:14" x14ac:dyDescent="0.25">
      <c r="A602" s="75"/>
      <c r="B602" s="78"/>
      <c r="C602" s="78"/>
      <c r="D602" s="20" t="s">
        <v>34</v>
      </c>
      <c r="E602" s="20"/>
      <c r="F602" s="21"/>
      <c r="G602" s="21"/>
      <c r="H602" s="21">
        <v>4573</v>
      </c>
      <c r="I602" s="21">
        <v>4573</v>
      </c>
      <c r="J602" s="20"/>
      <c r="K602" s="22"/>
      <c r="L602" s="31"/>
      <c r="M602" s="31"/>
      <c r="N602" s="32"/>
    </row>
    <row r="603" spans="1:14" x14ac:dyDescent="0.25">
      <c r="A603" s="75"/>
      <c r="B603" s="78"/>
      <c r="C603" s="78"/>
      <c r="D603" s="20" t="s">
        <v>32</v>
      </c>
      <c r="E603" s="20"/>
      <c r="F603" s="21">
        <v>4573</v>
      </c>
      <c r="G603" s="21">
        <v>4573</v>
      </c>
      <c r="H603" s="21"/>
      <c r="I603" s="21"/>
      <c r="J603" s="20"/>
      <c r="K603" s="22"/>
      <c r="L603" s="22"/>
      <c r="M603" s="22"/>
      <c r="N603" s="23"/>
    </row>
    <row r="604" spans="1:14" ht="15.75" thickBot="1" x14ac:dyDescent="0.3">
      <c r="A604" s="76"/>
      <c r="B604" s="79"/>
      <c r="C604" s="79"/>
      <c r="D604" s="20" t="s">
        <v>475</v>
      </c>
      <c r="E604" s="20"/>
      <c r="F604" s="21">
        <v>814.3</v>
      </c>
      <c r="G604" s="21">
        <v>814.3</v>
      </c>
      <c r="H604" s="21">
        <v>814.3</v>
      </c>
      <c r="I604" s="21">
        <v>814.3</v>
      </c>
      <c r="J604" s="20"/>
      <c r="K604" s="22"/>
      <c r="L604" s="22"/>
      <c r="M604" s="22"/>
      <c r="N604" s="23"/>
    </row>
    <row r="605" spans="1:14" x14ac:dyDescent="0.25">
      <c r="A605" s="74" t="s">
        <v>966</v>
      </c>
      <c r="B605" s="77" t="s">
        <v>967</v>
      </c>
      <c r="C605" s="77" t="s">
        <v>963</v>
      </c>
      <c r="D605" s="16" t="s">
        <v>121</v>
      </c>
      <c r="E605" s="16"/>
      <c r="F605" s="17">
        <f>SUM(F606:F606)+29665.8</f>
        <v>29665.8</v>
      </c>
      <c r="G605" s="17">
        <f>SUM(G606:G606)+29665.8</f>
        <v>29665.8</v>
      </c>
      <c r="H605" s="17">
        <f>SUM(H606:H606)+29665.8</f>
        <v>29665.8</v>
      </c>
      <c r="I605" s="17">
        <f>SUM(I606:I606)+29665.8</f>
        <v>29665.8</v>
      </c>
      <c r="J605" s="16" t="s">
        <v>968</v>
      </c>
      <c r="K605" s="18" t="s">
        <v>251</v>
      </c>
      <c r="L605" s="36">
        <v>21000</v>
      </c>
      <c r="M605" s="36">
        <v>21500</v>
      </c>
      <c r="N605" s="37">
        <v>22300</v>
      </c>
    </row>
    <row r="606" spans="1:14" ht="15.75" thickBot="1" x14ac:dyDescent="0.3">
      <c r="A606" s="76"/>
      <c r="B606" s="79"/>
      <c r="C606" s="79"/>
      <c r="D606" s="20"/>
      <c r="E606" s="20"/>
      <c r="F606" s="21">
        <v>0</v>
      </c>
      <c r="G606" s="21">
        <v>0</v>
      </c>
      <c r="H606" s="21">
        <v>0</v>
      </c>
      <c r="I606" s="21">
        <v>0</v>
      </c>
      <c r="J606" s="20" t="s">
        <v>969</v>
      </c>
      <c r="K606" s="22" t="s">
        <v>251</v>
      </c>
      <c r="L606" s="22">
        <v>38</v>
      </c>
      <c r="M606" s="22">
        <v>38</v>
      </c>
      <c r="N606" s="23">
        <v>38</v>
      </c>
    </row>
    <row r="607" spans="1:14" x14ac:dyDescent="0.25">
      <c r="A607" s="74" t="s">
        <v>970</v>
      </c>
      <c r="B607" s="77" t="s">
        <v>971</v>
      </c>
      <c r="C607" s="77" t="s">
        <v>963</v>
      </c>
      <c r="D607" s="16" t="s">
        <v>121</v>
      </c>
      <c r="E607" s="16"/>
      <c r="F607" s="17">
        <f>SUM(F608:F608)+12389.8</f>
        <v>12389.8</v>
      </c>
      <c r="G607" s="17">
        <f>SUM(G608:G608)+12389.8</f>
        <v>12389.8</v>
      </c>
      <c r="H607" s="17">
        <f>SUM(H608:H608)+12389.8</f>
        <v>12389.8</v>
      </c>
      <c r="I607" s="17">
        <f>SUM(I608:I608)+12389.8</f>
        <v>12389.8</v>
      </c>
      <c r="J607" s="16" t="s">
        <v>968</v>
      </c>
      <c r="K607" s="18" t="s">
        <v>251</v>
      </c>
      <c r="L607" s="36">
        <v>4300</v>
      </c>
      <c r="M607" s="36">
        <v>4400</v>
      </c>
      <c r="N607" s="37">
        <v>4350</v>
      </c>
    </row>
    <row r="608" spans="1:14" ht="15.75" thickBot="1" x14ac:dyDescent="0.3">
      <c r="A608" s="76"/>
      <c r="B608" s="79"/>
      <c r="C608" s="79"/>
      <c r="D608" s="20"/>
      <c r="E608" s="20"/>
      <c r="F608" s="21">
        <v>0</v>
      </c>
      <c r="G608" s="21">
        <v>0</v>
      </c>
      <c r="H608" s="21">
        <v>0</v>
      </c>
      <c r="I608" s="21">
        <v>0</v>
      </c>
      <c r="J608" s="20" t="s">
        <v>969</v>
      </c>
      <c r="K608" s="22" t="s">
        <v>251</v>
      </c>
      <c r="L608" s="22">
        <v>38</v>
      </c>
      <c r="M608" s="22">
        <v>38</v>
      </c>
      <c r="N608" s="23">
        <v>38</v>
      </c>
    </row>
    <row r="609" spans="1:14" ht="75.75" thickBot="1" x14ac:dyDescent="0.3">
      <c r="A609" s="24" t="s">
        <v>972</v>
      </c>
      <c r="B609" s="25" t="s">
        <v>973</v>
      </c>
      <c r="C609" s="16" t="s">
        <v>963</v>
      </c>
      <c r="D609" s="16" t="s">
        <v>475</v>
      </c>
      <c r="E609" s="16"/>
      <c r="F609" s="26">
        <v>1</v>
      </c>
      <c r="G609" s="26">
        <v>1</v>
      </c>
      <c r="H609" s="26">
        <v>1</v>
      </c>
      <c r="I609" s="26">
        <v>1</v>
      </c>
      <c r="J609" s="16" t="s">
        <v>968</v>
      </c>
      <c r="K609" s="18" t="s">
        <v>251</v>
      </c>
      <c r="L609" s="18">
        <v>1</v>
      </c>
      <c r="M609" s="18">
        <v>1</v>
      </c>
      <c r="N609" s="19">
        <v>1</v>
      </c>
    </row>
    <row r="610" spans="1:14" ht="30.75" thickBot="1" x14ac:dyDescent="0.3">
      <c r="A610" s="24" t="s">
        <v>974</v>
      </c>
      <c r="B610" s="25" t="s">
        <v>975</v>
      </c>
      <c r="C610" s="16" t="s">
        <v>963</v>
      </c>
      <c r="D610" s="16" t="s">
        <v>34</v>
      </c>
      <c r="E610" s="16"/>
      <c r="F610" s="26">
        <v>5.2</v>
      </c>
      <c r="G610" s="26">
        <v>5.2</v>
      </c>
      <c r="H610" s="26">
        <v>5.2</v>
      </c>
      <c r="I610" s="26">
        <v>5.2</v>
      </c>
      <c r="J610" s="16" t="s">
        <v>968</v>
      </c>
      <c r="K610" s="18" t="s">
        <v>251</v>
      </c>
      <c r="L610" s="18">
        <v>2</v>
      </c>
      <c r="M610" s="18">
        <v>2</v>
      </c>
      <c r="N610" s="19">
        <v>2</v>
      </c>
    </row>
    <row r="611" spans="1:14" x14ac:dyDescent="0.25">
      <c r="A611" s="74" t="s">
        <v>976</v>
      </c>
      <c r="B611" s="77" t="s">
        <v>977</v>
      </c>
      <c r="C611" s="77" t="s">
        <v>963</v>
      </c>
      <c r="D611" s="16"/>
      <c r="E611" s="16"/>
      <c r="F611" s="17">
        <f>SUM(F612:F613)</f>
        <v>1708</v>
      </c>
      <c r="G611" s="17">
        <f>SUM(G612:G613)</f>
        <v>1708</v>
      </c>
      <c r="H611" s="17">
        <f>SUM(H612:H613)</f>
        <v>1708</v>
      </c>
      <c r="I611" s="17">
        <f>SUM(I612:I613)</f>
        <v>1708</v>
      </c>
      <c r="J611" s="16" t="s">
        <v>968</v>
      </c>
      <c r="K611" s="18" t="s">
        <v>251</v>
      </c>
      <c r="L611" s="36">
        <v>4550</v>
      </c>
      <c r="M611" s="36">
        <v>4500</v>
      </c>
      <c r="N611" s="37">
        <v>4500</v>
      </c>
    </row>
    <row r="612" spans="1:14" x14ac:dyDescent="0.25">
      <c r="A612" s="75"/>
      <c r="B612" s="78"/>
      <c r="C612" s="78"/>
      <c r="D612" s="20" t="s">
        <v>123</v>
      </c>
      <c r="E612" s="20"/>
      <c r="F612" s="21">
        <v>120</v>
      </c>
      <c r="G612" s="21">
        <v>120</v>
      </c>
      <c r="H612" s="21">
        <v>120</v>
      </c>
      <c r="I612" s="21">
        <v>120</v>
      </c>
      <c r="J612" s="20"/>
      <c r="K612" s="22"/>
      <c r="L612" s="22"/>
      <c r="M612" s="22"/>
      <c r="N612" s="23"/>
    </row>
    <row r="613" spans="1:14" ht="15.75" thickBot="1" x14ac:dyDescent="0.3">
      <c r="A613" s="76"/>
      <c r="B613" s="79"/>
      <c r="C613" s="79"/>
      <c r="D613" s="20" t="s">
        <v>475</v>
      </c>
      <c r="E613" s="20"/>
      <c r="F613" s="21">
        <v>1588</v>
      </c>
      <c r="G613" s="21">
        <v>1588</v>
      </c>
      <c r="H613" s="21">
        <v>1588</v>
      </c>
      <c r="I613" s="21">
        <v>1588</v>
      </c>
      <c r="J613" s="20"/>
      <c r="K613" s="22"/>
      <c r="L613" s="22"/>
      <c r="M613" s="22"/>
      <c r="N613" s="23"/>
    </row>
    <row r="614" spans="1:14" ht="49.5" customHeight="1" x14ac:dyDescent="0.25">
      <c r="A614" s="74" t="s">
        <v>978</v>
      </c>
      <c r="B614" s="77" t="s">
        <v>979</v>
      </c>
      <c r="C614" s="77" t="s">
        <v>362</v>
      </c>
      <c r="D614" s="16"/>
      <c r="E614" s="16"/>
      <c r="F614" s="17">
        <f>SUM(F615:F616)</f>
        <v>2546.8000000000002</v>
      </c>
      <c r="G614" s="17">
        <f>SUM(G615:G616)</f>
        <v>2546.8000000000002</v>
      </c>
      <c r="H614" s="17">
        <f>SUM(H615:H616)</f>
        <v>2597.6999999999998</v>
      </c>
      <c r="I614" s="17">
        <f>SUM(I615:I616)</f>
        <v>2649.7</v>
      </c>
      <c r="J614" s="16" t="s">
        <v>980</v>
      </c>
      <c r="K614" s="18" t="s">
        <v>20</v>
      </c>
      <c r="L614" s="18">
        <v>100</v>
      </c>
      <c r="M614" s="18">
        <v>100</v>
      </c>
      <c r="N614" s="19">
        <v>100</v>
      </c>
    </row>
    <row r="615" spans="1:14" x14ac:dyDescent="0.25">
      <c r="A615" s="75"/>
      <c r="B615" s="78"/>
      <c r="C615" s="78"/>
      <c r="D615" s="20" t="s">
        <v>32</v>
      </c>
      <c r="E615" s="20"/>
      <c r="F615" s="21">
        <v>2546.8000000000002</v>
      </c>
      <c r="G615" s="21">
        <v>2546.8000000000002</v>
      </c>
      <c r="H615" s="21">
        <v>0</v>
      </c>
      <c r="I615" s="21">
        <v>0</v>
      </c>
      <c r="J615" s="20"/>
      <c r="K615" s="22"/>
      <c r="L615" s="22"/>
      <c r="M615" s="22"/>
      <c r="N615" s="23"/>
    </row>
    <row r="616" spans="1:14" ht="15.75" thickBot="1" x14ac:dyDescent="0.3">
      <c r="A616" s="76"/>
      <c r="B616" s="79"/>
      <c r="C616" s="79"/>
      <c r="D616" s="20" t="s">
        <v>34</v>
      </c>
      <c r="E616" s="20"/>
      <c r="F616" s="21">
        <v>0</v>
      </c>
      <c r="G616" s="21">
        <v>0</v>
      </c>
      <c r="H616" s="21">
        <v>2597.6999999999998</v>
      </c>
      <c r="I616" s="21">
        <v>2649.7</v>
      </c>
      <c r="J616" s="20"/>
      <c r="K616" s="22"/>
      <c r="L616" s="22"/>
      <c r="M616" s="22"/>
      <c r="N616" s="23"/>
    </row>
    <row r="617" spans="1:14" ht="45.75" thickBot="1" x14ac:dyDescent="0.3">
      <c r="A617" s="24" t="s">
        <v>981</v>
      </c>
      <c r="B617" s="25" t="s">
        <v>982</v>
      </c>
      <c r="C617" s="16" t="s">
        <v>983</v>
      </c>
      <c r="D617" s="16" t="s">
        <v>32</v>
      </c>
      <c r="E617" s="16"/>
      <c r="F617" s="26">
        <v>100</v>
      </c>
      <c r="G617" s="26">
        <v>100</v>
      </c>
      <c r="H617" s="26">
        <v>0</v>
      </c>
      <c r="I617" s="26">
        <v>0</v>
      </c>
      <c r="J617" s="16" t="s">
        <v>984</v>
      </c>
      <c r="K617" s="18" t="s">
        <v>20</v>
      </c>
      <c r="L617" s="18">
        <v>100</v>
      </c>
      <c r="M617" s="18"/>
      <c r="N617" s="19"/>
    </row>
    <row r="618" spans="1:14" ht="27" customHeight="1" thickBot="1" x14ac:dyDescent="0.3">
      <c r="A618" s="6" t="s">
        <v>985</v>
      </c>
      <c r="B618" s="7" t="s">
        <v>986</v>
      </c>
      <c r="C618" s="80" t="s">
        <v>987</v>
      </c>
      <c r="D618" s="81"/>
      <c r="E618" s="82"/>
      <c r="F618" s="8">
        <f>F619+F697</f>
        <v>28494.699999999997</v>
      </c>
      <c r="G618" s="8">
        <f>G619+G697-0.1</f>
        <v>27705.7</v>
      </c>
      <c r="H618" s="8">
        <f>H619+H697</f>
        <v>28344.7</v>
      </c>
      <c r="I618" s="8">
        <f>I619+I697</f>
        <v>30712.799999999999</v>
      </c>
      <c r="J618" s="83"/>
      <c r="K618" s="84"/>
      <c r="L618" s="84"/>
      <c r="M618" s="84"/>
      <c r="N618" s="85"/>
    </row>
    <row r="619" spans="1:14" x14ac:dyDescent="0.25">
      <c r="A619" s="92" t="s">
        <v>988</v>
      </c>
      <c r="B619" s="95" t="s">
        <v>989</v>
      </c>
      <c r="C619" s="96"/>
      <c r="D619" s="96"/>
      <c r="E619" s="97"/>
      <c r="F619" s="10">
        <f>F620+F621+F622+F653+F678+F683+F693</f>
        <v>27992.6</v>
      </c>
      <c r="G619" s="10">
        <f>G620+G621+G622+G653+G678+G683+G693</f>
        <v>27197.599999999999</v>
      </c>
      <c r="H619" s="10">
        <f>H620+H621+H622+H653+H678+H683+H693</f>
        <v>27869.200000000001</v>
      </c>
      <c r="I619" s="10">
        <f>I620+I621+I622+I653+I678+I683+I693</f>
        <v>30235</v>
      </c>
      <c r="J619" s="11" t="s">
        <v>990</v>
      </c>
      <c r="K619" s="12" t="s">
        <v>25</v>
      </c>
      <c r="L619" s="34">
        <v>14000</v>
      </c>
      <c r="M619" s="34">
        <v>20000</v>
      </c>
      <c r="N619" s="35">
        <v>25000</v>
      </c>
    </row>
    <row r="620" spans="1:14" x14ac:dyDescent="0.25">
      <c r="A620" s="93"/>
      <c r="B620" s="98"/>
      <c r="C620" s="99"/>
      <c r="D620" s="99"/>
      <c r="E620" s="100"/>
      <c r="F620" s="27">
        <v>0</v>
      </c>
      <c r="G620" s="27">
        <v>0</v>
      </c>
      <c r="H620" s="27">
        <v>0</v>
      </c>
      <c r="I620" s="27">
        <v>0</v>
      </c>
      <c r="J620" s="28" t="s">
        <v>991</v>
      </c>
      <c r="K620" s="29" t="s">
        <v>25</v>
      </c>
      <c r="L620" s="29">
        <v>20</v>
      </c>
      <c r="M620" s="29">
        <v>20</v>
      </c>
      <c r="N620" s="30">
        <v>20</v>
      </c>
    </row>
    <row r="621" spans="1:14" ht="30.75" thickBot="1" x14ac:dyDescent="0.3">
      <c r="A621" s="94"/>
      <c r="B621" s="101"/>
      <c r="C621" s="102"/>
      <c r="D621" s="102"/>
      <c r="E621" s="103"/>
      <c r="F621" s="27">
        <v>0</v>
      </c>
      <c r="G621" s="27">
        <v>0</v>
      </c>
      <c r="H621" s="27">
        <v>0</v>
      </c>
      <c r="I621" s="27">
        <v>0</v>
      </c>
      <c r="J621" s="28" t="s">
        <v>992</v>
      </c>
      <c r="K621" s="29" t="s">
        <v>25</v>
      </c>
      <c r="L621" s="29">
        <v>2.2999999999999998</v>
      </c>
      <c r="M621" s="29">
        <v>2.2999999999999998</v>
      </c>
      <c r="N621" s="30">
        <v>2.2999999999999998</v>
      </c>
    </row>
    <row r="622" spans="1:14" ht="26.25" customHeight="1" thickBot="1" x14ac:dyDescent="0.3">
      <c r="A622" s="14" t="s">
        <v>993</v>
      </c>
      <c r="B622" s="89" t="s">
        <v>994</v>
      </c>
      <c r="C622" s="90"/>
      <c r="D622" s="90"/>
      <c r="E622" s="91"/>
      <c r="F622" s="15">
        <f>F623+F634+F637+F640+F643+F646+F647+F650</f>
        <v>13024.6</v>
      </c>
      <c r="G622" s="15">
        <f>G623+G634+G637+G640+G643+G646+G647+G650</f>
        <v>13389.2</v>
      </c>
      <c r="H622" s="15">
        <f>H623+H634+H637+H640+H643+H646+H647+H650</f>
        <v>13708.8</v>
      </c>
      <c r="I622" s="15">
        <f>I623+I634+I637+I640+I643+I646+I647+I650</f>
        <v>15046</v>
      </c>
      <c r="J622" s="71"/>
      <c r="K622" s="72"/>
      <c r="L622" s="72"/>
      <c r="M622" s="72"/>
      <c r="N622" s="73"/>
    </row>
    <row r="623" spans="1:14" ht="15" customHeight="1" x14ac:dyDescent="0.25">
      <c r="A623" s="74" t="s">
        <v>995</v>
      </c>
      <c r="B623" s="77" t="s">
        <v>996</v>
      </c>
      <c r="C623" s="77" t="s">
        <v>997</v>
      </c>
      <c r="D623" s="16"/>
      <c r="E623" s="16"/>
      <c r="F623" s="17">
        <f>SUM(F624:F633)</f>
        <v>9320</v>
      </c>
      <c r="G623" s="17">
        <f>SUM(G624:G633)</f>
        <v>9353</v>
      </c>
      <c r="H623" s="17">
        <f>SUM(H624:H633)</f>
        <v>9993.7999999999993</v>
      </c>
      <c r="I623" s="17">
        <f>SUM(I624:I633)</f>
        <v>10993</v>
      </c>
      <c r="J623" s="16" t="s">
        <v>998</v>
      </c>
      <c r="K623" s="18" t="s">
        <v>251</v>
      </c>
      <c r="L623" s="18">
        <v>220</v>
      </c>
      <c r="M623" s="18">
        <v>170</v>
      </c>
      <c r="N623" s="19">
        <v>172</v>
      </c>
    </row>
    <row r="624" spans="1:14" ht="30" x14ac:dyDescent="0.25">
      <c r="A624" s="75"/>
      <c r="B624" s="78"/>
      <c r="C624" s="78"/>
      <c r="D624" s="20" t="s">
        <v>34</v>
      </c>
      <c r="E624" s="20"/>
      <c r="F624" s="21">
        <v>9116.5</v>
      </c>
      <c r="G624" s="21">
        <v>9116.5</v>
      </c>
      <c r="H624" s="21">
        <v>9992.2999999999993</v>
      </c>
      <c r="I624" s="21">
        <v>10991.5</v>
      </c>
      <c r="J624" s="20" t="s">
        <v>999</v>
      </c>
      <c r="K624" s="22" t="s">
        <v>251</v>
      </c>
      <c r="L624" s="22">
        <v>71</v>
      </c>
      <c r="M624" s="22">
        <v>121</v>
      </c>
      <c r="N624" s="23">
        <v>121</v>
      </c>
    </row>
    <row r="625" spans="1:14" ht="30" x14ac:dyDescent="0.25">
      <c r="A625" s="75"/>
      <c r="B625" s="78"/>
      <c r="C625" s="78"/>
      <c r="D625" s="20" t="s">
        <v>32</v>
      </c>
      <c r="E625" s="20"/>
      <c r="F625" s="21">
        <v>202</v>
      </c>
      <c r="G625" s="21">
        <v>230</v>
      </c>
      <c r="H625" s="21">
        <v>0</v>
      </c>
      <c r="I625" s="21">
        <v>0</v>
      </c>
      <c r="J625" s="20" t="s">
        <v>1000</v>
      </c>
      <c r="K625" s="22" t="s">
        <v>20</v>
      </c>
      <c r="L625" s="22">
        <v>100</v>
      </c>
      <c r="M625" s="22">
        <v>100</v>
      </c>
      <c r="N625" s="23">
        <v>100</v>
      </c>
    </row>
    <row r="626" spans="1:14" x14ac:dyDescent="0.25">
      <c r="A626" s="75"/>
      <c r="B626" s="78"/>
      <c r="C626" s="78"/>
      <c r="D626" s="20" t="s">
        <v>125</v>
      </c>
      <c r="E626" s="20"/>
      <c r="F626" s="21">
        <v>1.5</v>
      </c>
      <c r="G626" s="21">
        <v>1.5</v>
      </c>
      <c r="H626" s="21">
        <v>1.5</v>
      </c>
      <c r="I626" s="21">
        <v>1.5</v>
      </c>
      <c r="J626" s="20" t="s">
        <v>1001</v>
      </c>
      <c r="K626" s="22" t="s">
        <v>25</v>
      </c>
      <c r="L626" s="22">
        <v>40</v>
      </c>
      <c r="M626" s="22">
        <v>40</v>
      </c>
      <c r="N626" s="23">
        <v>45</v>
      </c>
    </row>
    <row r="627" spans="1:14" x14ac:dyDescent="0.25">
      <c r="A627" s="75"/>
      <c r="B627" s="78"/>
      <c r="C627" s="78"/>
      <c r="D627" s="20" t="s">
        <v>123</v>
      </c>
      <c r="E627" s="20"/>
      <c r="F627" s="21">
        <v>0</v>
      </c>
      <c r="G627" s="21">
        <v>5</v>
      </c>
      <c r="H627" s="21">
        <v>0</v>
      </c>
      <c r="I627" s="21">
        <v>0</v>
      </c>
      <c r="J627" s="20" t="s">
        <v>1002</v>
      </c>
      <c r="K627" s="22" t="s">
        <v>25</v>
      </c>
      <c r="L627" s="22">
        <v>3</v>
      </c>
      <c r="M627" s="22">
        <v>3</v>
      </c>
      <c r="N627" s="23">
        <v>2</v>
      </c>
    </row>
    <row r="628" spans="1:14" x14ac:dyDescent="0.25">
      <c r="A628" s="75"/>
      <c r="B628" s="78"/>
      <c r="C628" s="78"/>
      <c r="D628" s="20"/>
      <c r="E628" s="20"/>
      <c r="F628" s="21">
        <v>0</v>
      </c>
      <c r="G628" s="21">
        <v>0</v>
      </c>
      <c r="H628" s="21">
        <v>0</v>
      </c>
      <c r="I628" s="21">
        <v>0</v>
      </c>
      <c r="J628" s="20" t="s">
        <v>1003</v>
      </c>
      <c r="K628" s="22" t="s">
        <v>25</v>
      </c>
      <c r="L628" s="22">
        <v>3</v>
      </c>
      <c r="M628" s="22">
        <v>3</v>
      </c>
      <c r="N628" s="23">
        <v>2</v>
      </c>
    </row>
    <row r="629" spans="1:14" x14ac:dyDescent="0.25">
      <c r="A629" s="75"/>
      <c r="B629" s="78"/>
      <c r="C629" s="78"/>
      <c r="D629" s="20"/>
      <c r="E629" s="20"/>
      <c r="F629" s="21">
        <v>0</v>
      </c>
      <c r="G629" s="21">
        <v>0</v>
      </c>
      <c r="H629" s="21">
        <v>0</v>
      </c>
      <c r="I629" s="21">
        <v>0</v>
      </c>
      <c r="J629" s="20" t="s">
        <v>1004</v>
      </c>
      <c r="K629" s="22" t="s">
        <v>25</v>
      </c>
      <c r="L629" s="22">
        <v>330</v>
      </c>
      <c r="M629" s="22">
        <v>330</v>
      </c>
      <c r="N629" s="23">
        <v>340</v>
      </c>
    </row>
    <row r="630" spans="1:14" ht="30" x14ac:dyDescent="0.25">
      <c r="A630" s="75"/>
      <c r="B630" s="78"/>
      <c r="C630" s="78"/>
      <c r="D630" s="20"/>
      <c r="E630" s="20"/>
      <c r="F630" s="21">
        <v>0</v>
      </c>
      <c r="G630" s="21">
        <v>0</v>
      </c>
      <c r="H630" s="21">
        <v>0</v>
      </c>
      <c r="I630" s="21">
        <v>0</v>
      </c>
      <c r="J630" s="20" t="s">
        <v>1005</v>
      </c>
      <c r="K630" s="22" t="s">
        <v>251</v>
      </c>
      <c r="L630" s="31">
        <v>21500</v>
      </c>
      <c r="M630" s="31">
        <v>23000</v>
      </c>
      <c r="N630" s="32">
        <v>24500</v>
      </c>
    </row>
    <row r="631" spans="1:14" x14ac:dyDescent="0.25">
      <c r="A631" s="75"/>
      <c r="B631" s="78"/>
      <c r="C631" s="78"/>
      <c r="D631" s="20"/>
      <c r="E631" s="20"/>
      <c r="F631" s="21">
        <v>0</v>
      </c>
      <c r="G631" s="21">
        <v>0</v>
      </c>
      <c r="H631" s="21">
        <v>0</v>
      </c>
      <c r="I631" s="21">
        <v>0</v>
      </c>
      <c r="J631" s="20" t="s">
        <v>1006</v>
      </c>
      <c r="K631" s="22" t="s">
        <v>251</v>
      </c>
      <c r="L631" s="22">
        <v>280</v>
      </c>
      <c r="M631" s="22">
        <v>300</v>
      </c>
      <c r="N631" s="23">
        <v>300</v>
      </c>
    </row>
    <row r="632" spans="1:14" ht="30" x14ac:dyDescent="0.25">
      <c r="A632" s="75"/>
      <c r="B632" s="78"/>
      <c r="C632" s="78"/>
      <c r="D632" s="20"/>
      <c r="E632" s="20"/>
      <c r="F632" s="21">
        <v>0</v>
      </c>
      <c r="G632" s="21">
        <v>0</v>
      </c>
      <c r="H632" s="21">
        <v>0</v>
      </c>
      <c r="I632" s="21">
        <v>0</v>
      </c>
      <c r="J632" s="20" t="s">
        <v>1007</v>
      </c>
      <c r="K632" s="22" t="s">
        <v>251</v>
      </c>
      <c r="L632" s="31">
        <v>2500</v>
      </c>
      <c r="M632" s="31">
        <v>2800</v>
      </c>
      <c r="N632" s="32">
        <v>3000</v>
      </c>
    </row>
    <row r="633" spans="1:14" ht="15.75" thickBot="1" x14ac:dyDescent="0.3">
      <c r="A633" s="76"/>
      <c r="B633" s="79"/>
      <c r="C633" s="79"/>
      <c r="D633" s="20"/>
      <c r="E633" s="20"/>
      <c r="F633" s="21">
        <v>0</v>
      </c>
      <c r="G633" s="21">
        <v>0</v>
      </c>
      <c r="H633" s="21">
        <v>0</v>
      </c>
      <c r="I633" s="21">
        <v>0</v>
      </c>
      <c r="J633" s="20" t="s">
        <v>1008</v>
      </c>
      <c r="K633" s="22" t="s">
        <v>25</v>
      </c>
      <c r="L633" s="22">
        <v>10</v>
      </c>
      <c r="M633" s="22">
        <v>10</v>
      </c>
      <c r="N633" s="23">
        <v>50</v>
      </c>
    </row>
    <row r="634" spans="1:14" ht="30" x14ac:dyDescent="0.25">
      <c r="A634" s="74" t="s">
        <v>1009</v>
      </c>
      <c r="B634" s="77" t="s">
        <v>1010</v>
      </c>
      <c r="C634" s="77" t="s">
        <v>997</v>
      </c>
      <c r="D634" s="16"/>
      <c r="E634" s="16"/>
      <c r="F634" s="17">
        <f>SUM(F635:F636)</f>
        <v>1077.5</v>
      </c>
      <c r="G634" s="17">
        <f>SUM(G635:G636)</f>
        <v>1077.5</v>
      </c>
      <c r="H634" s="17">
        <f>SUM(H635:H636)</f>
        <v>1031.5999999999999</v>
      </c>
      <c r="I634" s="17">
        <f>SUM(I635:I636)</f>
        <v>1134.8</v>
      </c>
      <c r="J634" s="16" t="s">
        <v>1011</v>
      </c>
      <c r="K634" s="18" t="s">
        <v>20</v>
      </c>
      <c r="L634" s="18">
        <v>100</v>
      </c>
      <c r="M634" s="18">
        <v>100</v>
      </c>
      <c r="N634" s="19">
        <v>100</v>
      </c>
    </row>
    <row r="635" spans="1:14" ht="30" x14ac:dyDescent="0.25">
      <c r="A635" s="75"/>
      <c r="B635" s="78"/>
      <c r="C635" s="78"/>
      <c r="D635" s="20" t="s">
        <v>32</v>
      </c>
      <c r="E635" s="20"/>
      <c r="F635" s="21">
        <v>95</v>
      </c>
      <c r="G635" s="21">
        <v>95</v>
      </c>
      <c r="H635" s="21">
        <v>0</v>
      </c>
      <c r="I635" s="21">
        <v>0</v>
      </c>
      <c r="J635" s="20" t="s">
        <v>1012</v>
      </c>
      <c r="K635" s="22" t="s">
        <v>20</v>
      </c>
      <c r="L635" s="22">
        <v>100</v>
      </c>
      <c r="M635" s="22">
        <v>100</v>
      </c>
      <c r="N635" s="23">
        <v>100</v>
      </c>
    </row>
    <row r="636" spans="1:14" ht="45.75" thickBot="1" x14ac:dyDescent="0.3">
      <c r="A636" s="76"/>
      <c r="B636" s="79"/>
      <c r="C636" s="79"/>
      <c r="D636" s="20" t="s">
        <v>34</v>
      </c>
      <c r="E636" s="20"/>
      <c r="F636" s="21">
        <v>982.5</v>
      </c>
      <c r="G636" s="21">
        <v>982.5</v>
      </c>
      <c r="H636" s="21">
        <v>1031.5999999999999</v>
      </c>
      <c r="I636" s="21">
        <v>1134.8</v>
      </c>
      <c r="J636" s="20" t="s">
        <v>1013</v>
      </c>
      <c r="K636" s="22" t="s">
        <v>251</v>
      </c>
      <c r="L636" s="22">
        <v>11</v>
      </c>
      <c r="M636" s="22">
        <v>11</v>
      </c>
      <c r="N636" s="23">
        <v>11</v>
      </c>
    </row>
    <row r="637" spans="1:14" x14ac:dyDescent="0.25">
      <c r="A637" s="74" t="s">
        <v>1014</v>
      </c>
      <c r="B637" s="77" t="s">
        <v>1015</v>
      </c>
      <c r="C637" s="77" t="s">
        <v>1016</v>
      </c>
      <c r="D637" s="16"/>
      <c r="E637" s="16"/>
      <c r="F637" s="17">
        <f>SUM(F638:F639)</f>
        <v>342.5</v>
      </c>
      <c r="G637" s="17">
        <f>SUM(G638:G639)</f>
        <v>342.5</v>
      </c>
      <c r="H637" s="17">
        <f>SUM(H638:H639)</f>
        <v>351.2</v>
      </c>
      <c r="I637" s="17">
        <f>SUM(I638:I639)</f>
        <v>386.3</v>
      </c>
      <c r="J637" s="16" t="s">
        <v>1017</v>
      </c>
      <c r="K637" s="18" t="s">
        <v>251</v>
      </c>
      <c r="L637" s="18">
        <v>5</v>
      </c>
      <c r="M637" s="18">
        <v>5</v>
      </c>
      <c r="N637" s="19">
        <v>5</v>
      </c>
    </row>
    <row r="638" spans="1:14" x14ac:dyDescent="0.25">
      <c r="A638" s="75"/>
      <c r="B638" s="78"/>
      <c r="C638" s="78"/>
      <c r="D638" s="20" t="s">
        <v>32</v>
      </c>
      <c r="E638" s="20"/>
      <c r="F638" s="21">
        <v>8</v>
      </c>
      <c r="G638" s="21">
        <v>8</v>
      </c>
      <c r="H638" s="21">
        <v>0</v>
      </c>
      <c r="I638" s="21">
        <v>0</v>
      </c>
      <c r="J638" s="20"/>
      <c r="K638" s="22"/>
      <c r="L638" s="22"/>
      <c r="M638" s="22"/>
      <c r="N638" s="23"/>
    </row>
    <row r="639" spans="1:14" ht="15.75" thickBot="1" x14ac:dyDescent="0.3">
      <c r="A639" s="76"/>
      <c r="B639" s="79"/>
      <c r="C639" s="79"/>
      <c r="D639" s="20" t="s">
        <v>34</v>
      </c>
      <c r="E639" s="20"/>
      <c r="F639" s="21">
        <v>334.5</v>
      </c>
      <c r="G639" s="21">
        <v>334.5</v>
      </c>
      <c r="H639" s="21">
        <v>351.2</v>
      </c>
      <c r="I639" s="21">
        <v>386.3</v>
      </c>
      <c r="J639" s="20"/>
      <c r="K639" s="22"/>
      <c r="L639" s="22"/>
      <c r="M639" s="22"/>
      <c r="N639" s="23"/>
    </row>
    <row r="640" spans="1:14" ht="30" x14ac:dyDescent="0.25">
      <c r="A640" s="74" t="s">
        <v>1018</v>
      </c>
      <c r="B640" s="77" t="s">
        <v>1019</v>
      </c>
      <c r="C640" s="77" t="s">
        <v>362</v>
      </c>
      <c r="D640" s="16"/>
      <c r="E640" s="16"/>
      <c r="F640" s="17">
        <f>SUM(F641:F642)</f>
        <v>1761.1999999999998</v>
      </c>
      <c r="G640" s="17">
        <f>SUM(G641:G642)</f>
        <v>1761.1999999999998</v>
      </c>
      <c r="H640" s="17">
        <f>SUM(H641:H642)</f>
        <v>1809.3</v>
      </c>
      <c r="I640" s="17">
        <f>SUM(I641:I642)</f>
        <v>1990.2</v>
      </c>
      <c r="J640" s="16" t="s">
        <v>1020</v>
      </c>
      <c r="K640" s="18" t="s">
        <v>20</v>
      </c>
      <c r="L640" s="18">
        <v>100</v>
      </c>
      <c r="M640" s="18">
        <v>100</v>
      </c>
      <c r="N640" s="19">
        <v>100</v>
      </c>
    </row>
    <row r="641" spans="1:14" x14ac:dyDescent="0.25">
      <c r="A641" s="75"/>
      <c r="B641" s="78"/>
      <c r="C641" s="78"/>
      <c r="D641" s="20" t="s">
        <v>34</v>
      </c>
      <c r="E641" s="20"/>
      <c r="F641" s="21">
        <v>1760.6</v>
      </c>
      <c r="G641" s="21">
        <v>1760.6</v>
      </c>
      <c r="H641" s="21">
        <v>1809.3</v>
      </c>
      <c r="I641" s="21">
        <v>1990.2</v>
      </c>
      <c r="J641" s="20"/>
      <c r="K641" s="22"/>
      <c r="L641" s="22"/>
      <c r="M641" s="22"/>
      <c r="N641" s="23"/>
    </row>
    <row r="642" spans="1:14" ht="15.75" thickBot="1" x14ac:dyDescent="0.3">
      <c r="A642" s="76"/>
      <c r="B642" s="79"/>
      <c r="C642" s="79"/>
      <c r="D642" s="20" t="s">
        <v>118</v>
      </c>
      <c r="E642" s="20"/>
      <c r="F642" s="21">
        <v>0.6</v>
      </c>
      <c r="G642" s="21">
        <v>0.6</v>
      </c>
      <c r="H642" s="21">
        <v>0</v>
      </c>
      <c r="I642" s="21">
        <v>0</v>
      </c>
      <c r="J642" s="20"/>
      <c r="K642" s="22"/>
      <c r="L642" s="22"/>
      <c r="M642" s="22"/>
      <c r="N642" s="23"/>
    </row>
    <row r="643" spans="1:14" ht="30" x14ac:dyDescent="0.25">
      <c r="A643" s="74" t="s">
        <v>1021</v>
      </c>
      <c r="B643" s="77" t="s">
        <v>1022</v>
      </c>
      <c r="C643" s="77" t="s">
        <v>1023</v>
      </c>
      <c r="D643" s="16"/>
      <c r="E643" s="16"/>
      <c r="F643" s="17">
        <f>SUM(F644:F645)</f>
        <v>88.4</v>
      </c>
      <c r="G643" s="17">
        <f>SUM(G644:G645)</f>
        <v>88.4</v>
      </c>
      <c r="H643" s="17">
        <f>SUM(H644:H645)</f>
        <v>87.9</v>
      </c>
      <c r="I643" s="17">
        <f>SUM(I644:I645)</f>
        <v>96.7</v>
      </c>
      <c r="J643" s="16" t="s">
        <v>1024</v>
      </c>
      <c r="K643" s="18" t="s">
        <v>20</v>
      </c>
      <c r="L643" s="18">
        <v>100</v>
      </c>
      <c r="M643" s="18">
        <v>100</v>
      </c>
      <c r="N643" s="19">
        <v>100</v>
      </c>
    </row>
    <row r="644" spans="1:14" x14ac:dyDescent="0.25">
      <c r="A644" s="75"/>
      <c r="B644" s="78"/>
      <c r="C644" s="78"/>
      <c r="D644" s="20" t="s">
        <v>34</v>
      </c>
      <c r="E644" s="20"/>
      <c r="F644" s="21">
        <v>87.9</v>
      </c>
      <c r="G644" s="21">
        <v>87.9</v>
      </c>
      <c r="H644" s="21">
        <v>87.9</v>
      </c>
      <c r="I644" s="21">
        <v>96.7</v>
      </c>
      <c r="J644" s="20"/>
      <c r="K644" s="22"/>
      <c r="L644" s="22"/>
      <c r="M644" s="22"/>
      <c r="N644" s="23"/>
    </row>
    <row r="645" spans="1:14" ht="15.75" thickBot="1" x14ac:dyDescent="0.3">
      <c r="A645" s="76"/>
      <c r="B645" s="79"/>
      <c r="C645" s="79"/>
      <c r="D645" s="20" t="s">
        <v>32</v>
      </c>
      <c r="E645" s="20"/>
      <c r="F645" s="21">
        <v>0.5</v>
      </c>
      <c r="G645" s="21">
        <v>0.5</v>
      </c>
      <c r="H645" s="21">
        <v>0</v>
      </c>
      <c r="I645" s="21">
        <v>0</v>
      </c>
      <c r="J645" s="20"/>
      <c r="K645" s="22"/>
      <c r="L645" s="22"/>
      <c r="M645" s="22"/>
      <c r="N645" s="23"/>
    </row>
    <row r="646" spans="1:14" ht="45.75" thickBot="1" x14ac:dyDescent="0.3">
      <c r="A646" s="24" t="s">
        <v>1025</v>
      </c>
      <c r="B646" s="25" t="s">
        <v>1026</v>
      </c>
      <c r="C646" s="16" t="s">
        <v>983</v>
      </c>
      <c r="D646" s="16" t="s">
        <v>34</v>
      </c>
      <c r="E646" s="16"/>
      <c r="F646" s="26">
        <v>315</v>
      </c>
      <c r="G646" s="26">
        <v>315</v>
      </c>
      <c r="H646" s="26">
        <v>315</v>
      </c>
      <c r="I646" s="26">
        <v>325</v>
      </c>
      <c r="J646" s="16" t="s">
        <v>1027</v>
      </c>
      <c r="K646" s="18" t="s">
        <v>20</v>
      </c>
      <c r="L646" s="18">
        <v>100</v>
      </c>
      <c r="M646" s="18">
        <v>100</v>
      </c>
      <c r="N646" s="19">
        <v>100</v>
      </c>
    </row>
    <row r="647" spans="1:14" ht="23.25" customHeight="1" x14ac:dyDescent="0.25">
      <c r="A647" s="74" t="s">
        <v>1028</v>
      </c>
      <c r="B647" s="77" t="s">
        <v>1029</v>
      </c>
      <c r="C647" s="77" t="s">
        <v>1030</v>
      </c>
      <c r="D647" s="16"/>
      <c r="E647" s="16"/>
      <c r="F647" s="17">
        <f>SUM(F648:F649)</f>
        <v>120</v>
      </c>
      <c r="G647" s="17">
        <f>SUM(G648:G649)</f>
        <v>120</v>
      </c>
      <c r="H647" s="17">
        <f>SUM(H648:H649)</f>
        <v>0</v>
      </c>
      <c r="I647" s="17">
        <f>SUM(I648:I649)</f>
        <v>0</v>
      </c>
      <c r="J647" s="16" t="s">
        <v>1031</v>
      </c>
      <c r="K647" s="18" t="s">
        <v>25</v>
      </c>
      <c r="L647" s="18">
        <v>1</v>
      </c>
      <c r="M647" s="18"/>
      <c r="N647" s="19"/>
    </row>
    <row r="648" spans="1:14" x14ac:dyDescent="0.25">
      <c r="A648" s="75"/>
      <c r="B648" s="78"/>
      <c r="C648" s="78"/>
      <c r="D648" s="20" t="s">
        <v>32</v>
      </c>
      <c r="E648" s="20"/>
      <c r="F648" s="21">
        <v>20</v>
      </c>
      <c r="G648" s="21">
        <v>20</v>
      </c>
      <c r="H648" s="21">
        <v>0</v>
      </c>
      <c r="I648" s="21">
        <v>0</v>
      </c>
      <c r="J648" s="20" t="s">
        <v>1032</v>
      </c>
      <c r="K648" s="22" t="s">
        <v>25</v>
      </c>
      <c r="L648" s="22">
        <v>1</v>
      </c>
      <c r="M648" s="22"/>
      <c r="N648" s="23"/>
    </row>
    <row r="649" spans="1:14" ht="15.75" thickBot="1" x14ac:dyDescent="0.3">
      <c r="A649" s="76"/>
      <c r="B649" s="79"/>
      <c r="C649" s="79"/>
      <c r="D649" s="20" t="s">
        <v>34</v>
      </c>
      <c r="E649" s="20"/>
      <c r="F649" s="21">
        <v>100</v>
      </c>
      <c r="G649" s="21">
        <v>100</v>
      </c>
      <c r="H649" s="21"/>
      <c r="I649" s="21"/>
      <c r="J649" s="20"/>
      <c r="K649" s="22"/>
      <c r="L649" s="22"/>
      <c r="M649" s="22"/>
      <c r="N649" s="23"/>
    </row>
    <row r="650" spans="1:14" ht="28.5" customHeight="1" x14ac:dyDescent="0.25">
      <c r="A650" s="74" t="s">
        <v>1033</v>
      </c>
      <c r="B650" s="77" t="s">
        <v>1034</v>
      </c>
      <c r="C650" s="77" t="s">
        <v>1035</v>
      </c>
      <c r="D650" s="16"/>
      <c r="E650" s="16"/>
      <c r="F650" s="17">
        <f>SUM(F651:F652)</f>
        <v>0</v>
      </c>
      <c r="G650" s="17">
        <f>SUM(G651:G652)</f>
        <v>331.6</v>
      </c>
      <c r="H650" s="17">
        <f>SUM(H651:H652)</f>
        <v>120</v>
      </c>
      <c r="I650" s="17">
        <f>SUM(I651:I652)</f>
        <v>120</v>
      </c>
      <c r="J650" s="16" t="s">
        <v>1036</v>
      </c>
      <c r="K650" s="18" t="s">
        <v>20</v>
      </c>
      <c r="L650" s="18">
        <v>40</v>
      </c>
      <c r="M650" s="18">
        <v>55</v>
      </c>
      <c r="N650" s="19">
        <v>70</v>
      </c>
    </row>
    <row r="651" spans="1:14" x14ac:dyDescent="0.25">
      <c r="A651" s="75"/>
      <c r="B651" s="78"/>
      <c r="C651" s="78"/>
      <c r="D651" s="20" t="s">
        <v>34</v>
      </c>
      <c r="E651" s="20"/>
      <c r="F651" s="21">
        <v>0</v>
      </c>
      <c r="G651" s="21">
        <v>0</v>
      </c>
      <c r="H651" s="21">
        <v>120</v>
      </c>
      <c r="I651" s="21">
        <v>120</v>
      </c>
      <c r="J651" s="20"/>
      <c r="K651" s="22"/>
      <c r="L651" s="22"/>
      <c r="M651" s="22"/>
      <c r="N651" s="23"/>
    </row>
    <row r="652" spans="1:14" ht="15.75" thickBot="1" x14ac:dyDescent="0.3">
      <c r="A652" s="76"/>
      <c r="B652" s="79"/>
      <c r="C652" s="79"/>
      <c r="D652" s="20" t="s">
        <v>32</v>
      </c>
      <c r="E652" s="20"/>
      <c r="F652" s="21">
        <v>0</v>
      </c>
      <c r="G652" s="21">
        <v>331.6</v>
      </c>
      <c r="H652" s="21">
        <v>0</v>
      </c>
      <c r="I652" s="21">
        <v>0</v>
      </c>
      <c r="J652" s="20"/>
      <c r="K652" s="22"/>
      <c r="L652" s="22"/>
      <c r="M652" s="22"/>
      <c r="N652" s="23"/>
    </row>
    <row r="653" spans="1:14" ht="27.75" customHeight="1" thickBot="1" x14ac:dyDescent="0.3">
      <c r="A653" s="14" t="s">
        <v>1037</v>
      </c>
      <c r="B653" s="89" t="s">
        <v>1038</v>
      </c>
      <c r="C653" s="90"/>
      <c r="D653" s="90"/>
      <c r="E653" s="91"/>
      <c r="F653" s="15">
        <f>F654+F655+F656+F657+F658+F659+F660+F661+F662+F663+F664+F665+F666+F667+F668+F669+F670+F672+F675+F676+F677</f>
        <v>823.8</v>
      </c>
      <c r="G653" s="15">
        <f>G654+G655+G656+G657+G658+G659+G660+G661+G662+G663+G664+G665+G666+G667+G668+G669+G670+G672+G675+G676+G677</f>
        <v>855.3</v>
      </c>
      <c r="H653" s="15">
        <f>H654+H655+H656+H657+H658+H659+H660+H661+H662+H663+H664+H665+H666+H667+H668+H669+H670+H672+H675+H676+H677</f>
        <v>823.8</v>
      </c>
      <c r="I653" s="15">
        <f>I654+I655+I656+I657+I658+I659+I660+I661+I662+I663+I664+I665+I666+I667+I668+I669+I670+I672+I675+I676+I677</f>
        <v>823.8</v>
      </c>
      <c r="J653" s="71"/>
      <c r="K653" s="72"/>
      <c r="L653" s="72"/>
      <c r="M653" s="72"/>
      <c r="N653" s="73"/>
    </row>
    <row r="654" spans="1:14" ht="15.75" thickBot="1" x14ac:dyDescent="0.3">
      <c r="A654" s="24" t="s">
        <v>1039</v>
      </c>
      <c r="B654" s="25" t="s">
        <v>1040</v>
      </c>
      <c r="C654" s="16" t="s">
        <v>987</v>
      </c>
      <c r="D654" s="16" t="s">
        <v>475</v>
      </c>
      <c r="E654" s="16"/>
      <c r="F654" s="26">
        <v>11.5</v>
      </c>
      <c r="G654" s="26">
        <v>11.5</v>
      </c>
      <c r="H654" s="26">
        <v>11.5</v>
      </c>
      <c r="I654" s="26">
        <v>11.5</v>
      </c>
      <c r="J654" s="16" t="s">
        <v>1041</v>
      </c>
      <c r="K654" s="18" t="s">
        <v>20</v>
      </c>
      <c r="L654" s="18">
        <v>100</v>
      </c>
      <c r="M654" s="18">
        <v>100</v>
      </c>
      <c r="N654" s="19">
        <v>100</v>
      </c>
    </row>
    <row r="655" spans="1:14" ht="30" x14ac:dyDescent="0.25">
      <c r="A655" s="24" t="s">
        <v>1042</v>
      </c>
      <c r="B655" s="25" t="s">
        <v>1043</v>
      </c>
      <c r="C655" s="16" t="s">
        <v>362</v>
      </c>
      <c r="D655" s="16" t="s">
        <v>475</v>
      </c>
      <c r="E655" s="16"/>
      <c r="F655" s="26">
        <v>0.6</v>
      </c>
      <c r="G655" s="26">
        <v>0.6</v>
      </c>
      <c r="H655" s="26">
        <v>0.6</v>
      </c>
      <c r="I655" s="26">
        <v>0.6</v>
      </c>
      <c r="J655" s="16" t="s">
        <v>1041</v>
      </c>
      <c r="K655" s="18" t="s">
        <v>20</v>
      </c>
      <c r="L655" s="18">
        <v>100</v>
      </c>
      <c r="M655" s="18">
        <v>100</v>
      </c>
      <c r="N655" s="19">
        <v>100</v>
      </c>
    </row>
    <row r="656" spans="1:14" x14ac:dyDescent="0.25">
      <c r="A656" s="24" t="s">
        <v>1044</v>
      </c>
      <c r="B656" s="25" t="s">
        <v>1045</v>
      </c>
      <c r="C656" s="16" t="s">
        <v>1046</v>
      </c>
      <c r="D656" s="16" t="s">
        <v>475</v>
      </c>
      <c r="E656" s="16"/>
      <c r="F656" s="26">
        <v>34.9</v>
      </c>
      <c r="G656" s="26">
        <v>34.9</v>
      </c>
      <c r="H656" s="26">
        <v>34.9</v>
      </c>
      <c r="I656" s="26">
        <v>34.9</v>
      </c>
      <c r="J656" s="16" t="s">
        <v>1041</v>
      </c>
      <c r="K656" s="18" t="s">
        <v>20</v>
      </c>
      <c r="L656" s="18">
        <v>100</v>
      </c>
      <c r="M656" s="18">
        <v>100</v>
      </c>
      <c r="N656" s="19">
        <v>100</v>
      </c>
    </row>
    <row r="657" spans="1:14" ht="30" x14ac:dyDescent="0.25">
      <c r="A657" s="24" t="s">
        <v>1047</v>
      </c>
      <c r="B657" s="25" t="s">
        <v>1048</v>
      </c>
      <c r="C657" s="16" t="s">
        <v>1049</v>
      </c>
      <c r="D657" s="16" t="s">
        <v>475</v>
      </c>
      <c r="E657" s="16"/>
      <c r="F657" s="26">
        <v>62.3</v>
      </c>
      <c r="G657" s="26">
        <v>62.3</v>
      </c>
      <c r="H657" s="26">
        <v>62.3</v>
      </c>
      <c r="I657" s="26">
        <v>62.3</v>
      </c>
      <c r="J657" s="16" t="s">
        <v>1041</v>
      </c>
      <c r="K657" s="18" t="s">
        <v>20</v>
      </c>
      <c r="L657" s="18">
        <v>100</v>
      </c>
      <c r="M657" s="18">
        <v>100</v>
      </c>
      <c r="N657" s="19">
        <v>100</v>
      </c>
    </row>
    <row r="658" spans="1:14" ht="30" x14ac:dyDescent="0.25">
      <c r="A658" s="24" t="s">
        <v>1050</v>
      </c>
      <c r="B658" s="25" t="s">
        <v>1051</v>
      </c>
      <c r="C658" s="16" t="s">
        <v>1049</v>
      </c>
      <c r="D658" s="16" t="s">
        <v>475</v>
      </c>
      <c r="E658" s="16"/>
      <c r="F658" s="26">
        <v>1.9</v>
      </c>
      <c r="G658" s="26">
        <v>1.9</v>
      </c>
      <c r="H658" s="26">
        <v>1.9</v>
      </c>
      <c r="I658" s="26">
        <v>1.9</v>
      </c>
      <c r="J658" s="16" t="s">
        <v>1041</v>
      </c>
      <c r="K658" s="18" t="s">
        <v>20</v>
      </c>
      <c r="L658" s="18">
        <v>100</v>
      </c>
      <c r="M658" s="18">
        <v>100</v>
      </c>
      <c r="N658" s="19">
        <v>100</v>
      </c>
    </row>
    <row r="659" spans="1:14" ht="30" x14ac:dyDescent="0.25">
      <c r="A659" s="24" t="s">
        <v>1052</v>
      </c>
      <c r="B659" s="25" t="s">
        <v>1053</v>
      </c>
      <c r="C659" s="16" t="s">
        <v>91</v>
      </c>
      <c r="D659" s="16" t="s">
        <v>475</v>
      </c>
      <c r="E659" s="16"/>
      <c r="F659" s="26">
        <v>17</v>
      </c>
      <c r="G659" s="26">
        <v>17</v>
      </c>
      <c r="H659" s="26">
        <v>17</v>
      </c>
      <c r="I659" s="26">
        <v>17</v>
      </c>
      <c r="J659" s="16" t="s">
        <v>1041</v>
      </c>
      <c r="K659" s="18" t="s">
        <v>20</v>
      </c>
      <c r="L659" s="18">
        <v>100</v>
      </c>
      <c r="M659" s="18">
        <v>100</v>
      </c>
      <c r="N659" s="19">
        <v>100</v>
      </c>
    </row>
    <row r="660" spans="1:14" ht="45" x14ac:dyDescent="0.25">
      <c r="A660" s="24" t="s">
        <v>1054</v>
      </c>
      <c r="B660" s="25" t="s">
        <v>1055</v>
      </c>
      <c r="C660" s="16" t="s">
        <v>1056</v>
      </c>
      <c r="D660" s="16" t="s">
        <v>475</v>
      </c>
      <c r="E660" s="16"/>
      <c r="F660" s="26">
        <v>27.3</v>
      </c>
      <c r="G660" s="26">
        <v>27.3</v>
      </c>
      <c r="H660" s="26">
        <v>27.3</v>
      </c>
      <c r="I660" s="26">
        <v>27.3</v>
      </c>
      <c r="J660" s="16" t="s">
        <v>1041</v>
      </c>
      <c r="K660" s="18" t="s">
        <v>20</v>
      </c>
      <c r="L660" s="18">
        <v>100</v>
      </c>
      <c r="M660" s="18">
        <v>100</v>
      </c>
      <c r="N660" s="19">
        <v>100</v>
      </c>
    </row>
    <row r="661" spans="1:14" ht="30" x14ac:dyDescent="0.25">
      <c r="A661" s="24" t="s">
        <v>1057</v>
      </c>
      <c r="B661" s="25" t="s">
        <v>1058</v>
      </c>
      <c r="C661" s="16" t="s">
        <v>987</v>
      </c>
      <c r="D661" s="16" t="s">
        <v>475</v>
      </c>
      <c r="E661" s="16"/>
      <c r="F661" s="26">
        <v>80.599999999999994</v>
      </c>
      <c r="G661" s="26">
        <v>80.599999999999994</v>
      </c>
      <c r="H661" s="26">
        <v>80.599999999999994</v>
      </c>
      <c r="I661" s="26">
        <v>80.599999999999994</v>
      </c>
      <c r="J661" s="16" t="s">
        <v>1041</v>
      </c>
      <c r="K661" s="18" t="s">
        <v>20</v>
      </c>
      <c r="L661" s="18">
        <v>100</v>
      </c>
      <c r="M661" s="18">
        <v>100</v>
      </c>
      <c r="N661" s="19">
        <v>100</v>
      </c>
    </row>
    <row r="662" spans="1:14" ht="30" x14ac:dyDescent="0.25">
      <c r="A662" s="24" t="s">
        <v>1059</v>
      </c>
      <c r="B662" s="25" t="s">
        <v>1060</v>
      </c>
      <c r="C662" s="16" t="s">
        <v>983</v>
      </c>
      <c r="D662" s="16" t="s">
        <v>475</v>
      </c>
      <c r="E662" s="16"/>
      <c r="F662" s="26">
        <v>26.5</v>
      </c>
      <c r="G662" s="26">
        <v>26.5</v>
      </c>
      <c r="H662" s="26">
        <v>26.5</v>
      </c>
      <c r="I662" s="26">
        <v>26.5</v>
      </c>
      <c r="J662" s="16" t="s">
        <v>1041</v>
      </c>
      <c r="K662" s="18" t="s">
        <v>20</v>
      </c>
      <c r="L662" s="18">
        <v>100</v>
      </c>
      <c r="M662" s="18">
        <v>100</v>
      </c>
      <c r="N662" s="19">
        <v>100</v>
      </c>
    </row>
    <row r="663" spans="1:14" ht="30" x14ac:dyDescent="0.25">
      <c r="A663" s="24" t="s">
        <v>1061</v>
      </c>
      <c r="B663" s="25" t="s">
        <v>1062</v>
      </c>
      <c r="C663" s="16" t="s">
        <v>983</v>
      </c>
      <c r="D663" s="16" t="s">
        <v>475</v>
      </c>
      <c r="E663" s="16"/>
      <c r="F663" s="26">
        <v>124.6</v>
      </c>
      <c r="G663" s="26">
        <v>124.6</v>
      </c>
      <c r="H663" s="26">
        <v>124.6</v>
      </c>
      <c r="I663" s="26">
        <v>124.6</v>
      </c>
      <c r="J663" s="16" t="s">
        <v>1041</v>
      </c>
      <c r="K663" s="18" t="s">
        <v>20</v>
      </c>
      <c r="L663" s="18">
        <v>100</v>
      </c>
      <c r="M663" s="18">
        <v>100</v>
      </c>
      <c r="N663" s="19">
        <v>100</v>
      </c>
    </row>
    <row r="664" spans="1:14" ht="30" x14ac:dyDescent="0.25">
      <c r="A664" s="24" t="s">
        <v>1063</v>
      </c>
      <c r="B664" s="25" t="s">
        <v>1064</v>
      </c>
      <c r="C664" s="16" t="s">
        <v>184</v>
      </c>
      <c r="D664" s="16" t="s">
        <v>475</v>
      </c>
      <c r="E664" s="16"/>
      <c r="F664" s="26">
        <v>8</v>
      </c>
      <c r="G664" s="26">
        <v>8</v>
      </c>
      <c r="H664" s="26">
        <v>8</v>
      </c>
      <c r="I664" s="26">
        <v>8</v>
      </c>
      <c r="J664" s="16" t="s">
        <v>1041</v>
      </c>
      <c r="K664" s="18" t="s">
        <v>20</v>
      </c>
      <c r="L664" s="18">
        <v>100</v>
      </c>
      <c r="M664" s="18">
        <v>100</v>
      </c>
      <c r="N664" s="19">
        <v>100</v>
      </c>
    </row>
    <row r="665" spans="1:14" ht="30" x14ac:dyDescent="0.25">
      <c r="A665" s="24" t="s">
        <v>1065</v>
      </c>
      <c r="B665" s="25" t="s">
        <v>1066</v>
      </c>
      <c r="C665" s="16" t="s">
        <v>866</v>
      </c>
      <c r="D665" s="16" t="s">
        <v>475</v>
      </c>
      <c r="E665" s="16"/>
      <c r="F665" s="26">
        <v>11.9</v>
      </c>
      <c r="G665" s="26">
        <v>11.9</v>
      </c>
      <c r="H665" s="26">
        <v>11.9</v>
      </c>
      <c r="I665" s="26">
        <v>11.9</v>
      </c>
      <c r="J665" s="16" t="s">
        <v>1041</v>
      </c>
      <c r="K665" s="18" t="s">
        <v>20</v>
      </c>
      <c r="L665" s="18">
        <v>100</v>
      </c>
      <c r="M665" s="18">
        <v>100</v>
      </c>
      <c r="N665" s="19">
        <v>100</v>
      </c>
    </row>
    <row r="666" spans="1:14" ht="30" x14ac:dyDescent="0.25">
      <c r="A666" s="24" t="s">
        <v>1067</v>
      </c>
      <c r="B666" s="25" t="s">
        <v>1068</v>
      </c>
      <c r="C666" s="16" t="s">
        <v>963</v>
      </c>
      <c r="D666" s="16" t="s">
        <v>475</v>
      </c>
      <c r="E666" s="16"/>
      <c r="F666" s="26">
        <v>24.4</v>
      </c>
      <c r="G666" s="26">
        <v>24.4</v>
      </c>
      <c r="H666" s="26">
        <v>24.4</v>
      </c>
      <c r="I666" s="26">
        <v>24.4</v>
      </c>
      <c r="J666" s="16" t="s">
        <v>1041</v>
      </c>
      <c r="K666" s="18" t="s">
        <v>20</v>
      </c>
      <c r="L666" s="18">
        <v>100</v>
      </c>
      <c r="M666" s="18">
        <v>100</v>
      </c>
      <c r="N666" s="19">
        <v>100</v>
      </c>
    </row>
    <row r="667" spans="1:14" ht="30" x14ac:dyDescent="0.25">
      <c r="A667" s="24" t="s">
        <v>1069</v>
      </c>
      <c r="B667" s="25" t="s">
        <v>1070</v>
      </c>
      <c r="C667" s="16" t="s">
        <v>963</v>
      </c>
      <c r="D667" s="16" t="s">
        <v>475</v>
      </c>
      <c r="E667" s="16"/>
      <c r="F667" s="26">
        <v>63.5</v>
      </c>
      <c r="G667" s="26">
        <v>63.5</v>
      </c>
      <c r="H667" s="26">
        <v>63.5</v>
      </c>
      <c r="I667" s="26">
        <v>63.5</v>
      </c>
      <c r="J667" s="16" t="s">
        <v>1041</v>
      </c>
      <c r="K667" s="18" t="s">
        <v>20</v>
      </c>
      <c r="L667" s="18">
        <v>100</v>
      </c>
      <c r="M667" s="18">
        <v>100</v>
      </c>
      <c r="N667" s="19">
        <v>100</v>
      </c>
    </row>
    <row r="668" spans="1:14" x14ac:dyDescent="0.25">
      <c r="A668" s="24" t="s">
        <v>1071</v>
      </c>
      <c r="B668" s="25" t="s">
        <v>1072</v>
      </c>
      <c r="C668" s="16" t="s">
        <v>866</v>
      </c>
      <c r="D668" s="16" t="s">
        <v>475</v>
      </c>
      <c r="E668" s="16"/>
      <c r="F668" s="26">
        <v>113.4</v>
      </c>
      <c r="G668" s="26">
        <v>113.4</v>
      </c>
      <c r="H668" s="26">
        <v>113.4</v>
      </c>
      <c r="I668" s="26">
        <v>113.4</v>
      </c>
      <c r="J668" s="16" t="s">
        <v>1041</v>
      </c>
      <c r="K668" s="18" t="s">
        <v>20</v>
      </c>
      <c r="L668" s="18">
        <v>100</v>
      </c>
      <c r="M668" s="18">
        <v>100</v>
      </c>
      <c r="N668" s="19">
        <v>100</v>
      </c>
    </row>
    <row r="669" spans="1:14" ht="45.75" thickBot="1" x14ac:dyDescent="0.3">
      <c r="A669" s="24" t="s">
        <v>1073</v>
      </c>
      <c r="B669" s="25" t="s">
        <v>1074</v>
      </c>
      <c r="C669" s="16" t="s">
        <v>963</v>
      </c>
      <c r="D669" s="16" t="s">
        <v>475</v>
      </c>
      <c r="E669" s="16"/>
      <c r="F669" s="26">
        <v>2.9</v>
      </c>
      <c r="G669" s="26">
        <v>2.9</v>
      </c>
      <c r="H669" s="26">
        <v>2.9</v>
      </c>
      <c r="I669" s="26">
        <v>2.9</v>
      </c>
      <c r="J669" s="16" t="s">
        <v>1041</v>
      </c>
      <c r="K669" s="18" t="s">
        <v>20</v>
      </c>
      <c r="L669" s="18">
        <v>100</v>
      </c>
      <c r="M669" s="18">
        <v>100</v>
      </c>
      <c r="N669" s="19">
        <v>100</v>
      </c>
    </row>
    <row r="670" spans="1:14" ht="30" x14ac:dyDescent="0.25">
      <c r="A670" s="74" t="s">
        <v>1075</v>
      </c>
      <c r="B670" s="77" t="s">
        <v>1076</v>
      </c>
      <c r="C670" s="77" t="s">
        <v>781</v>
      </c>
      <c r="D670" s="16" t="s">
        <v>475</v>
      </c>
      <c r="E670" s="16"/>
      <c r="F670" s="17">
        <f>SUM(F671:F671)+8.5</f>
        <v>8.5</v>
      </c>
      <c r="G670" s="17">
        <f>SUM(G671:G671)+8.5</f>
        <v>8.5</v>
      </c>
      <c r="H670" s="17">
        <f>SUM(H671:H671)+8.5</f>
        <v>8.5</v>
      </c>
      <c r="I670" s="17">
        <f>SUM(I671:I671)+8.5</f>
        <v>8.5</v>
      </c>
      <c r="J670" s="16" t="s">
        <v>1077</v>
      </c>
      <c r="K670" s="18" t="s">
        <v>25</v>
      </c>
      <c r="L670" s="18">
        <v>2</v>
      </c>
      <c r="M670" s="18">
        <v>2</v>
      </c>
      <c r="N670" s="19">
        <v>2</v>
      </c>
    </row>
    <row r="671" spans="1:14" ht="30.75" thickBot="1" x14ac:dyDescent="0.3">
      <c r="A671" s="76"/>
      <c r="B671" s="79"/>
      <c r="C671" s="79"/>
      <c r="D671" s="20"/>
      <c r="E671" s="20"/>
      <c r="F671" s="21">
        <v>0</v>
      </c>
      <c r="G671" s="21">
        <v>0</v>
      </c>
      <c r="H671" s="21">
        <v>0</v>
      </c>
      <c r="I671" s="21">
        <v>0</v>
      </c>
      <c r="J671" s="20" t="s">
        <v>1078</v>
      </c>
      <c r="K671" s="22" t="s">
        <v>25</v>
      </c>
      <c r="L671" s="22">
        <v>250</v>
      </c>
      <c r="M671" s="22">
        <v>250</v>
      </c>
      <c r="N671" s="23">
        <v>250</v>
      </c>
    </row>
    <row r="672" spans="1:14" x14ac:dyDescent="0.25">
      <c r="A672" s="74" t="s">
        <v>1079</v>
      </c>
      <c r="B672" s="77" t="s">
        <v>1080</v>
      </c>
      <c r="C672" s="77" t="s">
        <v>997</v>
      </c>
      <c r="D672" s="16"/>
      <c r="E672" s="16"/>
      <c r="F672" s="17">
        <f>SUM(F673:F674)</f>
        <v>32.6</v>
      </c>
      <c r="G672" s="17">
        <f>SUM(G673:G674)</f>
        <v>32.6</v>
      </c>
      <c r="H672" s="17">
        <f>SUM(H673:H674)</f>
        <v>32.6</v>
      </c>
      <c r="I672" s="17">
        <f>SUM(I673:I674)</f>
        <v>32.6</v>
      </c>
      <c r="J672" s="16" t="s">
        <v>1041</v>
      </c>
      <c r="K672" s="18" t="s">
        <v>20</v>
      </c>
      <c r="L672" s="18">
        <v>100</v>
      </c>
      <c r="M672" s="18">
        <v>100</v>
      </c>
      <c r="N672" s="19">
        <v>100</v>
      </c>
    </row>
    <row r="673" spans="1:14" x14ac:dyDescent="0.25">
      <c r="A673" s="75"/>
      <c r="B673" s="78"/>
      <c r="C673" s="78"/>
      <c r="D673" s="20" t="s">
        <v>123</v>
      </c>
      <c r="E673" s="20"/>
      <c r="F673" s="21">
        <v>32.6</v>
      </c>
      <c r="G673" s="21">
        <v>0</v>
      </c>
      <c r="H673" s="21">
        <v>32.6</v>
      </c>
      <c r="I673" s="21">
        <v>32.6</v>
      </c>
      <c r="J673" s="20"/>
      <c r="K673" s="22"/>
      <c r="L673" s="22"/>
      <c r="M673" s="22"/>
      <c r="N673" s="23"/>
    </row>
    <row r="674" spans="1:14" ht="15.75" thickBot="1" x14ac:dyDescent="0.3">
      <c r="A674" s="76"/>
      <c r="B674" s="79"/>
      <c r="C674" s="79"/>
      <c r="D674" s="20" t="s">
        <v>475</v>
      </c>
      <c r="E674" s="20"/>
      <c r="F674" s="21">
        <v>0</v>
      </c>
      <c r="G674" s="21">
        <v>32.6</v>
      </c>
      <c r="H674" s="21">
        <v>0</v>
      </c>
      <c r="I674" s="21">
        <v>0</v>
      </c>
      <c r="J674" s="20"/>
      <c r="K674" s="22"/>
      <c r="L674" s="22"/>
      <c r="M674" s="22"/>
      <c r="N674" s="23"/>
    </row>
    <row r="675" spans="1:14" ht="30.75" thickBot="1" x14ac:dyDescent="0.3">
      <c r="A675" s="24" t="s">
        <v>1081</v>
      </c>
      <c r="B675" s="25" t="s">
        <v>1082</v>
      </c>
      <c r="C675" s="16" t="s">
        <v>997</v>
      </c>
      <c r="D675" s="16" t="s">
        <v>475</v>
      </c>
      <c r="E675" s="16"/>
      <c r="F675" s="26">
        <v>39.700000000000003</v>
      </c>
      <c r="G675" s="26">
        <v>39.700000000000003</v>
      </c>
      <c r="H675" s="26">
        <v>39.700000000000003</v>
      </c>
      <c r="I675" s="26">
        <v>39.700000000000003</v>
      </c>
      <c r="J675" s="16" t="s">
        <v>1083</v>
      </c>
      <c r="K675" s="18" t="s">
        <v>20</v>
      </c>
      <c r="L675" s="18">
        <v>100</v>
      </c>
      <c r="M675" s="18">
        <v>100</v>
      </c>
      <c r="N675" s="19">
        <v>100</v>
      </c>
    </row>
    <row r="676" spans="1:14" ht="45" x14ac:dyDescent="0.25">
      <c r="A676" s="24" t="s">
        <v>1084</v>
      </c>
      <c r="B676" s="25" t="s">
        <v>1085</v>
      </c>
      <c r="C676" s="16" t="s">
        <v>23</v>
      </c>
      <c r="D676" s="16" t="s">
        <v>475</v>
      </c>
      <c r="E676" s="16"/>
      <c r="F676" s="26">
        <v>131.69999999999999</v>
      </c>
      <c r="G676" s="26">
        <v>131.69999999999999</v>
      </c>
      <c r="H676" s="26">
        <v>131.69999999999999</v>
      </c>
      <c r="I676" s="26">
        <v>131.69999999999999</v>
      </c>
      <c r="J676" s="16" t="s">
        <v>1041</v>
      </c>
      <c r="K676" s="18" t="s">
        <v>20</v>
      </c>
      <c r="L676" s="18">
        <v>100</v>
      </c>
      <c r="M676" s="18">
        <v>100</v>
      </c>
      <c r="N676" s="19">
        <v>100</v>
      </c>
    </row>
    <row r="677" spans="1:14" ht="45.75" thickBot="1" x14ac:dyDescent="0.3">
      <c r="A677" s="24" t="s">
        <v>1086</v>
      </c>
      <c r="B677" s="25" t="s">
        <v>1087</v>
      </c>
      <c r="C677" s="16" t="s">
        <v>866</v>
      </c>
      <c r="D677" s="16" t="s">
        <v>123</v>
      </c>
      <c r="E677" s="16"/>
      <c r="F677" s="26">
        <v>0</v>
      </c>
      <c r="G677" s="26">
        <v>31.5</v>
      </c>
      <c r="H677" s="26">
        <v>0</v>
      </c>
      <c r="I677" s="26">
        <v>0</v>
      </c>
      <c r="J677" s="16" t="s">
        <v>1041</v>
      </c>
      <c r="K677" s="18" t="s">
        <v>20</v>
      </c>
      <c r="L677" s="18">
        <v>100</v>
      </c>
      <c r="M677" s="18">
        <v>100</v>
      </c>
      <c r="N677" s="19">
        <v>100</v>
      </c>
    </row>
    <row r="678" spans="1:14" ht="25.5" customHeight="1" thickBot="1" x14ac:dyDescent="0.3">
      <c r="A678" s="14" t="s">
        <v>1088</v>
      </c>
      <c r="B678" s="89" t="s">
        <v>1089</v>
      </c>
      <c r="C678" s="90"/>
      <c r="D678" s="90"/>
      <c r="E678" s="91"/>
      <c r="F678" s="15">
        <f>SUM(F679:F680)</f>
        <v>32.1</v>
      </c>
      <c r="G678" s="15">
        <f>SUM(G679:G680)</f>
        <v>82.1</v>
      </c>
      <c r="H678" s="15">
        <f>SUM(H679:H680)</f>
        <v>0</v>
      </c>
      <c r="I678" s="15">
        <f>SUM(I679:I680)</f>
        <v>0</v>
      </c>
      <c r="J678" s="71"/>
      <c r="K678" s="72"/>
      <c r="L678" s="72"/>
      <c r="M678" s="72"/>
      <c r="N678" s="73"/>
    </row>
    <row r="679" spans="1:14" ht="60.75" thickBot="1" x14ac:dyDescent="0.3">
      <c r="A679" s="24" t="s">
        <v>1090</v>
      </c>
      <c r="B679" s="25" t="s">
        <v>1091</v>
      </c>
      <c r="C679" s="16" t="s">
        <v>987</v>
      </c>
      <c r="D679" s="16"/>
      <c r="E679" s="16"/>
      <c r="F679" s="26">
        <v>0</v>
      </c>
      <c r="G679" s="26">
        <v>0</v>
      </c>
      <c r="H679" s="26">
        <v>0</v>
      </c>
      <c r="I679" s="26">
        <v>0</v>
      </c>
      <c r="J679" s="16" t="s">
        <v>1092</v>
      </c>
      <c r="K679" s="18" t="s">
        <v>25</v>
      </c>
      <c r="L679" s="18">
        <v>8</v>
      </c>
      <c r="M679" s="18">
        <v>8</v>
      </c>
      <c r="N679" s="19">
        <v>8</v>
      </c>
    </row>
    <row r="680" spans="1:14" ht="27.75" customHeight="1" x14ac:dyDescent="0.25">
      <c r="A680" s="74" t="s">
        <v>1093</v>
      </c>
      <c r="B680" s="77" t="s">
        <v>1094</v>
      </c>
      <c r="C680" s="77" t="s">
        <v>1095</v>
      </c>
      <c r="D680" s="16"/>
      <c r="E680" s="16"/>
      <c r="F680" s="17">
        <f>SUM(F681:F682)</f>
        <v>32.1</v>
      </c>
      <c r="G680" s="17">
        <f>SUM(G681:G682)</f>
        <v>82.1</v>
      </c>
      <c r="H680" s="17">
        <f>SUM(H681:H682)</f>
        <v>0</v>
      </c>
      <c r="I680" s="17">
        <f>SUM(I681:I682)</f>
        <v>0</v>
      </c>
      <c r="J680" s="16" t="s">
        <v>204</v>
      </c>
      <c r="K680" s="18" t="s">
        <v>25</v>
      </c>
      <c r="L680" s="18">
        <v>1</v>
      </c>
      <c r="M680" s="18"/>
      <c r="N680" s="19"/>
    </row>
    <row r="681" spans="1:14" ht="30" x14ac:dyDescent="0.25">
      <c r="A681" s="75"/>
      <c r="B681" s="78"/>
      <c r="C681" s="78"/>
      <c r="D681" s="20" t="s">
        <v>123</v>
      </c>
      <c r="E681" s="20"/>
      <c r="F681" s="21">
        <v>0</v>
      </c>
      <c r="G681" s="21">
        <v>50</v>
      </c>
      <c r="H681" s="21">
        <v>0</v>
      </c>
      <c r="I681" s="21">
        <v>0</v>
      </c>
      <c r="J681" s="20" t="s">
        <v>1096</v>
      </c>
      <c r="K681" s="22" t="s">
        <v>25</v>
      </c>
      <c r="L681" s="22">
        <v>1</v>
      </c>
      <c r="M681" s="22"/>
      <c r="N681" s="23"/>
    </row>
    <row r="682" spans="1:14" ht="15.75" thickBot="1" x14ac:dyDescent="0.3">
      <c r="A682" s="76"/>
      <c r="B682" s="79"/>
      <c r="C682" s="79"/>
      <c r="D682" s="20" t="s">
        <v>32</v>
      </c>
      <c r="E682" s="20"/>
      <c r="F682" s="21">
        <v>32.1</v>
      </c>
      <c r="G682" s="21">
        <v>32.1</v>
      </c>
      <c r="H682" s="21"/>
      <c r="I682" s="21"/>
      <c r="J682" s="20"/>
      <c r="K682" s="22"/>
      <c r="L682" s="22"/>
      <c r="M682" s="22"/>
      <c r="N682" s="23"/>
    </row>
    <row r="683" spans="1:14" ht="26.25" customHeight="1" thickBot="1" x14ac:dyDescent="0.3">
      <c r="A683" s="14" t="s">
        <v>1097</v>
      </c>
      <c r="B683" s="89" t="s">
        <v>1098</v>
      </c>
      <c r="C683" s="90"/>
      <c r="D683" s="90"/>
      <c r="E683" s="91"/>
      <c r="F683" s="15">
        <f>F684+F687+F690+F691</f>
        <v>14100</v>
      </c>
      <c r="G683" s="15">
        <f>G684+G687+G690+G691</f>
        <v>12858.9</v>
      </c>
      <c r="H683" s="15">
        <f>H684+H687+H690+H691</f>
        <v>13324.2</v>
      </c>
      <c r="I683" s="15">
        <f>I684+I687+I690+I691</f>
        <v>14352.5</v>
      </c>
      <c r="J683" s="71"/>
      <c r="K683" s="72"/>
      <c r="L683" s="72"/>
      <c r="M683" s="72"/>
      <c r="N683" s="73"/>
    </row>
    <row r="684" spans="1:14" ht="27" customHeight="1" x14ac:dyDescent="0.25">
      <c r="A684" s="74" t="s">
        <v>1099</v>
      </c>
      <c r="B684" s="77" t="s">
        <v>1100</v>
      </c>
      <c r="C684" s="77" t="s">
        <v>1030</v>
      </c>
      <c r="D684" s="16"/>
      <c r="E684" s="16"/>
      <c r="F684" s="17">
        <f>SUM(F685:F686)</f>
        <v>9605.1</v>
      </c>
      <c r="G684" s="17">
        <f>SUM(G685:G686)</f>
        <v>8364</v>
      </c>
      <c r="H684" s="17">
        <f>SUM(H685:H686)</f>
        <v>8751.2000000000007</v>
      </c>
      <c r="I684" s="17">
        <f>SUM(I685:I686)</f>
        <v>9713.7000000000007</v>
      </c>
      <c r="J684" s="16" t="s">
        <v>1101</v>
      </c>
      <c r="K684" s="18" t="s">
        <v>20</v>
      </c>
      <c r="L684" s="18">
        <v>100</v>
      </c>
      <c r="M684" s="18">
        <v>100</v>
      </c>
      <c r="N684" s="19">
        <v>100</v>
      </c>
    </row>
    <row r="685" spans="1:14" x14ac:dyDescent="0.25">
      <c r="A685" s="75"/>
      <c r="B685" s="78"/>
      <c r="C685" s="78"/>
      <c r="D685" s="20" t="s">
        <v>34</v>
      </c>
      <c r="E685" s="20"/>
      <c r="F685" s="21">
        <v>8293.4</v>
      </c>
      <c r="G685" s="21">
        <v>8293.4</v>
      </c>
      <c r="H685" s="21">
        <v>8751.2000000000007</v>
      </c>
      <c r="I685" s="21">
        <v>9713.7000000000007</v>
      </c>
      <c r="J685" s="20"/>
      <c r="K685" s="22"/>
      <c r="L685" s="22"/>
      <c r="M685" s="22"/>
      <c r="N685" s="23"/>
    </row>
    <row r="686" spans="1:14" ht="15.75" thickBot="1" x14ac:dyDescent="0.3">
      <c r="A686" s="76"/>
      <c r="B686" s="79"/>
      <c r="C686" s="79"/>
      <c r="D686" s="20" t="s">
        <v>32</v>
      </c>
      <c r="E686" s="20"/>
      <c r="F686" s="21">
        <v>1311.7</v>
      </c>
      <c r="G686" s="21">
        <v>70.599999999999994</v>
      </c>
      <c r="H686" s="21">
        <v>0</v>
      </c>
      <c r="I686" s="21">
        <v>0</v>
      </c>
      <c r="J686" s="20"/>
      <c r="K686" s="22"/>
      <c r="L686" s="22"/>
      <c r="M686" s="22"/>
      <c r="N686" s="23"/>
    </row>
    <row r="687" spans="1:14" x14ac:dyDescent="0.25">
      <c r="A687" s="74" t="s">
        <v>1102</v>
      </c>
      <c r="B687" s="77" t="s">
        <v>1103</v>
      </c>
      <c r="C687" s="77" t="s">
        <v>362</v>
      </c>
      <c r="D687" s="16"/>
      <c r="E687" s="16"/>
      <c r="F687" s="17">
        <f>SUM(F688:F689)</f>
        <v>4149.8999999999996</v>
      </c>
      <c r="G687" s="17">
        <f>SUM(G688:G689)</f>
        <v>4149.8999999999996</v>
      </c>
      <c r="H687" s="17">
        <f>SUM(H688:H689)</f>
        <v>4228</v>
      </c>
      <c r="I687" s="17">
        <f>SUM(I688:I689)</f>
        <v>4279.3</v>
      </c>
      <c r="J687" s="16" t="s">
        <v>1104</v>
      </c>
      <c r="K687" s="18" t="s">
        <v>20</v>
      </c>
      <c r="L687" s="18">
        <v>100</v>
      </c>
      <c r="M687" s="18">
        <v>100</v>
      </c>
      <c r="N687" s="19">
        <v>100</v>
      </c>
    </row>
    <row r="688" spans="1:14" x14ac:dyDescent="0.25">
      <c r="A688" s="75"/>
      <c r="B688" s="78"/>
      <c r="C688" s="78"/>
      <c r="D688" s="20" t="s">
        <v>32</v>
      </c>
      <c r="E688" s="20"/>
      <c r="F688" s="21">
        <v>4149.8999999999996</v>
      </c>
      <c r="G688" s="21">
        <v>4149.8999999999996</v>
      </c>
      <c r="H688" s="21">
        <v>0</v>
      </c>
      <c r="I688" s="21">
        <v>0</v>
      </c>
      <c r="J688" s="20"/>
      <c r="K688" s="22"/>
      <c r="L688" s="22"/>
      <c r="M688" s="22"/>
      <c r="N688" s="23"/>
    </row>
    <row r="689" spans="1:14" ht="15.75" thickBot="1" x14ac:dyDescent="0.3">
      <c r="A689" s="76"/>
      <c r="B689" s="79"/>
      <c r="C689" s="79"/>
      <c r="D689" s="20" t="s">
        <v>34</v>
      </c>
      <c r="E689" s="20"/>
      <c r="F689" s="21">
        <v>0</v>
      </c>
      <c r="G689" s="21">
        <v>0</v>
      </c>
      <c r="H689" s="21">
        <v>4228</v>
      </c>
      <c r="I689" s="21">
        <v>4279.3</v>
      </c>
      <c r="J689" s="20"/>
      <c r="K689" s="22"/>
      <c r="L689" s="22"/>
      <c r="M689" s="22"/>
      <c r="N689" s="23"/>
    </row>
    <row r="690" spans="1:14" ht="30.75" thickBot="1" x14ac:dyDescent="0.3">
      <c r="A690" s="24" t="s">
        <v>1105</v>
      </c>
      <c r="B690" s="25" t="s">
        <v>1106</v>
      </c>
      <c r="C690" s="16" t="s">
        <v>1107</v>
      </c>
      <c r="D690" s="16" t="s">
        <v>34</v>
      </c>
      <c r="E690" s="16"/>
      <c r="F690" s="26">
        <v>200</v>
      </c>
      <c r="G690" s="26">
        <v>200</v>
      </c>
      <c r="H690" s="26">
        <v>200</v>
      </c>
      <c r="I690" s="26">
        <v>200</v>
      </c>
      <c r="J690" s="16" t="s">
        <v>1104</v>
      </c>
      <c r="K690" s="18" t="s">
        <v>20</v>
      </c>
      <c r="L690" s="18">
        <v>100</v>
      </c>
      <c r="M690" s="18">
        <v>100</v>
      </c>
      <c r="N690" s="19">
        <v>100</v>
      </c>
    </row>
    <row r="691" spans="1:14" ht="45" x14ac:dyDescent="0.25">
      <c r="A691" s="74" t="s">
        <v>1108</v>
      </c>
      <c r="B691" s="77" t="s">
        <v>1109</v>
      </c>
      <c r="C691" s="77" t="s">
        <v>572</v>
      </c>
      <c r="D691" s="16" t="s">
        <v>34</v>
      </c>
      <c r="E691" s="16"/>
      <c r="F691" s="17">
        <f>SUM(F692:F692)+145</f>
        <v>145</v>
      </c>
      <c r="G691" s="17">
        <f>SUM(G692:G692)+145</f>
        <v>145</v>
      </c>
      <c r="H691" s="17">
        <f>SUM(H692:H692)+145</f>
        <v>145</v>
      </c>
      <c r="I691" s="17">
        <f>SUM(I692:I692)+159.5</f>
        <v>159.5</v>
      </c>
      <c r="J691" s="16" t="s">
        <v>1110</v>
      </c>
      <c r="K691" s="18" t="s">
        <v>20</v>
      </c>
      <c r="L691" s="18">
        <v>100</v>
      </c>
      <c r="M691" s="18">
        <v>100</v>
      </c>
      <c r="N691" s="19">
        <v>100</v>
      </c>
    </row>
    <row r="692" spans="1:14" ht="30.75" thickBot="1" x14ac:dyDescent="0.3">
      <c r="A692" s="76"/>
      <c r="B692" s="79"/>
      <c r="C692" s="79"/>
      <c r="D692" s="20"/>
      <c r="E692" s="20"/>
      <c r="F692" s="21">
        <v>0</v>
      </c>
      <c r="G692" s="21">
        <v>0</v>
      </c>
      <c r="H692" s="21">
        <v>0</v>
      </c>
      <c r="I692" s="21">
        <v>0</v>
      </c>
      <c r="J692" s="20" t="s">
        <v>1111</v>
      </c>
      <c r="K692" s="22" t="s">
        <v>251</v>
      </c>
      <c r="L692" s="22">
        <v>74</v>
      </c>
      <c r="M692" s="22">
        <v>74</v>
      </c>
      <c r="N692" s="23">
        <v>73</v>
      </c>
    </row>
    <row r="693" spans="1:14" ht="26.25" customHeight="1" thickBot="1" x14ac:dyDescent="0.3">
      <c r="A693" s="14" t="s">
        <v>1112</v>
      </c>
      <c r="B693" s="89" t="s">
        <v>1113</v>
      </c>
      <c r="C693" s="90"/>
      <c r="D693" s="90"/>
      <c r="E693" s="91"/>
      <c r="F693" s="15">
        <f>SUM(F694:F696)</f>
        <v>12.1</v>
      </c>
      <c r="G693" s="15">
        <f>SUM(G694:G696)</f>
        <v>12.1</v>
      </c>
      <c r="H693" s="15">
        <f>SUM(H694:H696)</f>
        <v>12.4</v>
      </c>
      <c r="I693" s="15">
        <f>SUM(I694:I696)</f>
        <v>12.7</v>
      </c>
      <c r="J693" s="71"/>
      <c r="K693" s="72"/>
      <c r="L693" s="72"/>
      <c r="M693" s="72"/>
      <c r="N693" s="73"/>
    </row>
    <row r="694" spans="1:14" ht="75.75" thickBot="1" x14ac:dyDescent="0.3">
      <c r="A694" s="24" t="s">
        <v>1114</v>
      </c>
      <c r="B694" s="25" t="s">
        <v>1115</v>
      </c>
      <c r="C694" s="16" t="s">
        <v>987</v>
      </c>
      <c r="D694" s="16"/>
      <c r="E694" s="16"/>
      <c r="F694" s="26">
        <v>0</v>
      </c>
      <c r="G694" s="26">
        <v>0</v>
      </c>
      <c r="H694" s="26">
        <v>0</v>
      </c>
      <c r="I694" s="26">
        <v>0</v>
      </c>
      <c r="J694" s="16" t="s">
        <v>1116</v>
      </c>
      <c r="K694" s="18" t="s">
        <v>20</v>
      </c>
      <c r="L694" s="18">
        <v>100</v>
      </c>
      <c r="M694" s="18">
        <v>100</v>
      </c>
      <c r="N694" s="19">
        <v>100</v>
      </c>
    </row>
    <row r="695" spans="1:14" ht="60" x14ac:dyDescent="0.25">
      <c r="A695" s="24" t="s">
        <v>1117</v>
      </c>
      <c r="B695" s="25" t="s">
        <v>1118</v>
      </c>
      <c r="C695" s="16" t="s">
        <v>987</v>
      </c>
      <c r="D695" s="16"/>
      <c r="E695" s="16"/>
      <c r="F695" s="26">
        <v>0</v>
      </c>
      <c r="G695" s="26">
        <v>0</v>
      </c>
      <c r="H695" s="26">
        <v>0</v>
      </c>
      <c r="I695" s="26">
        <v>0</v>
      </c>
      <c r="J695" s="16" t="s">
        <v>1119</v>
      </c>
      <c r="K695" s="18" t="s">
        <v>25</v>
      </c>
      <c r="L695" s="18">
        <v>2</v>
      </c>
      <c r="M695" s="18">
        <v>2</v>
      </c>
      <c r="N695" s="19">
        <v>2</v>
      </c>
    </row>
    <row r="696" spans="1:14" ht="30.75" thickBot="1" x14ac:dyDescent="0.3">
      <c r="A696" s="24" t="s">
        <v>1120</v>
      </c>
      <c r="B696" s="25" t="s">
        <v>1121</v>
      </c>
      <c r="C696" s="16" t="s">
        <v>987</v>
      </c>
      <c r="D696" s="16" t="s">
        <v>34</v>
      </c>
      <c r="E696" s="16"/>
      <c r="F696" s="26">
        <v>12.1</v>
      </c>
      <c r="G696" s="26">
        <v>12.1</v>
      </c>
      <c r="H696" s="26">
        <v>12.4</v>
      </c>
      <c r="I696" s="26">
        <v>12.7</v>
      </c>
      <c r="J696" s="16" t="s">
        <v>1122</v>
      </c>
      <c r="K696" s="18" t="s">
        <v>25</v>
      </c>
      <c r="L696" s="18">
        <v>4</v>
      </c>
      <c r="M696" s="18">
        <v>4</v>
      </c>
      <c r="N696" s="19">
        <v>4</v>
      </c>
    </row>
    <row r="697" spans="1:14" x14ac:dyDescent="0.25">
      <c r="A697" s="92" t="s">
        <v>1123</v>
      </c>
      <c r="B697" s="95" t="s">
        <v>1124</v>
      </c>
      <c r="C697" s="96"/>
      <c r="D697" s="96"/>
      <c r="E697" s="97"/>
      <c r="F697" s="10">
        <f>SUM(F698:F699)</f>
        <v>502.1</v>
      </c>
      <c r="G697" s="10">
        <f>SUM(G698:G699)</f>
        <v>508.2</v>
      </c>
      <c r="H697" s="10">
        <f>SUM(H698:H699)</f>
        <v>475.5</v>
      </c>
      <c r="I697" s="10">
        <f>SUM(I698:I699)</f>
        <v>477.79999999999995</v>
      </c>
      <c r="J697" s="11" t="s">
        <v>1125</v>
      </c>
      <c r="K697" s="12" t="s">
        <v>20</v>
      </c>
      <c r="L697" s="12">
        <v>100</v>
      </c>
      <c r="M697" s="12">
        <v>100</v>
      </c>
      <c r="N697" s="13">
        <v>100</v>
      </c>
    </row>
    <row r="698" spans="1:14" ht="15.75" thickBot="1" x14ac:dyDescent="0.3">
      <c r="A698" s="94"/>
      <c r="B698" s="101"/>
      <c r="C698" s="102"/>
      <c r="D698" s="102"/>
      <c r="E698" s="103"/>
      <c r="F698" s="27">
        <v>0</v>
      </c>
      <c r="G698" s="27">
        <v>0</v>
      </c>
      <c r="H698" s="27">
        <v>0</v>
      </c>
      <c r="I698" s="27">
        <v>0</v>
      </c>
      <c r="J698" s="28" t="s">
        <v>1126</v>
      </c>
      <c r="K698" s="29" t="s">
        <v>25</v>
      </c>
      <c r="L698" s="29">
        <v>29</v>
      </c>
      <c r="M698" s="29">
        <v>29</v>
      </c>
      <c r="N698" s="30">
        <v>29</v>
      </c>
    </row>
    <row r="699" spans="1:14" ht="27.75" customHeight="1" thickBot="1" x14ac:dyDescent="0.3">
      <c r="A699" s="14" t="s">
        <v>1127</v>
      </c>
      <c r="B699" s="89" t="s">
        <v>1128</v>
      </c>
      <c r="C699" s="90"/>
      <c r="D699" s="90"/>
      <c r="E699" s="91"/>
      <c r="F699" s="15">
        <f>F700+F701+F705+F707+F708+F710+F713</f>
        <v>502.1</v>
      </c>
      <c r="G699" s="15">
        <f>G700+G701+G705+G707+G708+G710+G713</f>
        <v>508.2</v>
      </c>
      <c r="H699" s="15">
        <f>H700+H701+H705+H707+H708+H710+H713</f>
        <v>475.5</v>
      </c>
      <c r="I699" s="15">
        <f>I700+I701+I705+I707+I708+I710+I713</f>
        <v>477.79999999999995</v>
      </c>
      <c r="J699" s="71"/>
      <c r="K699" s="72"/>
      <c r="L699" s="72"/>
      <c r="M699" s="72"/>
      <c r="N699" s="73"/>
    </row>
    <row r="700" spans="1:14" ht="30.75" thickBot="1" x14ac:dyDescent="0.3">
      <c r="A700" s="24" t="s">
        <v>1129</v>
      </c>
      <c r="B700" s="25" t="s">
        <v>1130</v>
      </c>
      <c r="C700" s="16" t="s">
        <v>983</v>
      </c>
      <c r="D700" s="16" t="s">
        <v>34</v>
      </c>
      <c r="E700" s="16"/>
      <c r="F700" s="26">
        <v>48</v>
      </c>
      <c r="G700" s="26">
        <v>48</v>
      </c>
      <c r="H700" s="26">
        <v>43</v>
      </c>
      <c r="I700" s="26">
        <v>47</v>
      </c>
      <c r="J700" s="16" t="s">
        <v>1131</v>
      </c>
      <c r="K700" s="18" t="s">
        <v>251</v>
      </c>
      <c r="L700" s="18">
        <v>37</v>
      </c>
      <c r="M700" s="18">
        <v>37</v>
      </c>
      <c r="N700" s="19">
        <v>37</v>
      </c>
    </row>
    <row r="701" spans="1:14" x14ac:dyDescent="0.25">
      <c r="A701" s="74" t="s">
        <v>1132</v>
      </c>
      <c r="B701" s="77" t="s">
        <v>1133</v>
      </c>
      <c r="C701" s="77" t="s">
        <v>1134</v>
      </c>
      <c r="D701" s="16"/>
      <c r="E701" s="16"/>
      <c r="F701" s="17">
        <f>SUM(F702:F704)</f>
        <v>123.6</v>
      </c>
      <c r="G701" s="17">
        <f>SUM(G702:G704)</f>
        <v>127.4</v>
      </c>
      <c r="H701" s="17">
        <f>SUM(H702:H704)</f>
        <v>123.6</v>
      </c>
      <c r="I701" s="17">
        <f>SUM(I702:I704)</f>
        <v>123.6</v>
      </c>
      <c r="J701" s="16" t="s">
        <v>1135</v>
      </c>
      <c r="K701" s="18" t="s">
        <v>25</v>
      </c>
      <c r="L701" s="18">
        <v>11</v>
      </c>
      <c r="M701" s="18">
        <v>12</v>
      </c>
      <c r="N701" s="19">
        <v>12</v>
      </c>
    </row>
    <row r="702" spans="1:14" x14ac:dyDescent="0.25">
      <c r="A702" s="75"/>
      <c r="B702" s="78"/>
      <c r="C702" s="78"/>
      <c r="D702" s="20" t="s">
        <v>32</v>
      </c>
      <c r="E702" s="20"/>
      <c r="F702" s="21">
        <v>50</v>
      </c>
      <c r="G702" s="21">
        <v>50</v>
      </c>
      <c r="H702" s="21">
        <v>0</v>
      </c>
      <c r="I702" s="21">
        <v>0</v>
      </c>
      <c r="J702" s="20" t="s">
        <v>1136</v>
      </c>
      <c r="K702" s="22" t="s">
        <v>25</v>
      </c>
      <c r="L702" s="22">
        <v>2</v>
      </c>
      <c r="M702" s="22">
        <v>2</v>
      </c>
      <c r="N702" s="23">
        <v>2</v>
      </c>
    </row>
    <row r="703" spans="1:14" x14ac:dyDescent="0.25">
      <c r="A703" s="75"/>
      <c r="B703" s="78"/>
      <c r="C703" s="78"/>
      <c r="D703" s="20" t="s">
        <v>34</v>
      </c>
      <c r="E703" s="20"/>
      <c r="F703" s="21"/>
      <c r="G703" s="21"/>
      <c r="H703" s="21">
        <v>50</v>
      </c>
      <c r="I703" s="21">
        <v>50</v>
      </c>
      <c r="J703" s="20"/>
      <c r="K703" s="22"/>
      <c r="L703" s="22"/>
      <c r="M703" s="22"/>
      <c r="N703" s="23"/>
    </row>
    <row r="704" spans="1:14" ht="15.75" thickBot="1" x14ac:dyDescent="0.3">
      <c r="A704" s="76"/>
      <c r="B704" s="79"/>
      <c r="C704" s="79"/>
      <c r="D704" s="20" t="s">
        <v>123</v>
      </c>
      <c r="E704" s="20"/>
      <c r="F704" s="21">
        <v>73.599999999999994</v>
      </c>
      <c r="G704" s="21">
        <v>77.400000000000006</v>
      </c>
      <c r="H704" s="21">
        <v>73.599999999999994</v>
      </c>
      <c r="I704" s="21">
        <v>73.599999999999994</v>
      </c>
      <c r="J704" s="20"/>
      <c r="K704" s="22"/>
      <c r="L704" s="22"/>
      <c r="M704" s="22"/>
      <c r="N704" s="23"/>
    </row>
    <row r="705" spans="1:14" ht="24.75" customHeight="1" x14ac:dyDescent="0.25">
      <c r="A705" s="74" t="s">
        <v>1137</v>
      </c>
      <c r="B705" s="77" t="s">
        <v>1138</v>
      </c>
      <c r="C705" s="77" t="s">
        <v>1134</v>
      </c>
      <c r="D705" s="16" t="s">
        <v>34</v>
      </c>
      <c r="E705" s="16"/>
      <c r="F705" s="17">
        <f>SUM(F706:F706)+35</f>
        <v>35</v>
      </c>
      <c r="G705" s="17">
        <f>SUM(G706:G706)+35</f>
        <v>35</v>
      </c>
      <c r="H705" s="17">
        <f>SUM(H706:H706)+35</f>
        <v>35</v>
      </c>
      <c r="I705" s="17">
        <f>SUM(I706:I706)+35</f>
        <v>35</v>
      </c>
      <c r="J705" s="16" t="s">
        <v>1135</v>
      </c>
      <c r="K705" s="18" t="s">
        <v>25</v>
      </c>
      <c r="L705" s="18">
        <v>12</v>
      </c>
      <c r="M705" s="18">
        <v>12</v>
      </c>
      <c r="N705" s="19">
        <v>12</v>
      </c>
    </row>
    <row r="706" spans="1:14" ht="15.75" thickBot="1" x14ac:dyDescent="0.3">
      <c r="A706" s="76"/>
      <c r="B706" s="79"/>
      <c r="C706" s="79"/>
      <c r="D706" s="20"/>
      <c r="E706" s="20"/>
      <c r="F706" s="21">
        <v>0</v>
      </c>
      <c r="G706" s="21">
        <v>0</v>
      </c>
      <c r="H706" s="21">
        <v>0</v>
      </c>
      <c r="I706" s="21">
        <v>0</v>
      </c>
      <c r="J706" s="20" t="s">
        <v>1139</v>
      </c>
      <c r="K706" s="22" t="s">
        <v>25</v>
      </c>
      <c r="L706" s="22">
        <v>1</v>
      </c>
      <c r="M706" s="22">
        <v>1</v>
      </c>
      <c r="N706" s="23">
        <v>1</v>
      </c>
    </row>
    <row r="707" spans="1:14" ht="45.75" thickBot="1" x14ac:dyDescent="0.3">
      <c r="A707" s="24" t="s">
        <v>1140</v>
      </c>
      <c r="B707" s="25" t="s">
        <v>1141</v>
      </c>
      <c r="C707" s="16" t="s">
        <v>1107</v>
      </c>
      <c r="D707" s="16" t="s">
        <v>34</v>
      </c>
      <c r="E707" s="16"/>
      <c r="F707" s="26">
        <v>0</v>
      </c>
      <c r="G707" s="26">
        <v>0</v>
      </c>
      <c r="H707" s="26">
        <v>23.9</v>
      </c>
      <c r="I707" s="26">
        <v>22.2</v>
      </c>
      <c r="J707" s="16" t="s">
        <v>1142</v>
      </c>
      <c r="K707" s="18" t="s">
        <v>20</v>
      </c>
      <c r="L707" s="18"/>
      <c r="M707" s="18">
        <v>30</v>
      </c>
      <c r="N707" s="19">
        <v>58</v>
      </c>
    </row>
    <row r="708" spans="1:14" ht="65.25" customHeight="1" x14ac:dyDescent="0.25">
      <c r="A708" s="74" t="s">
        <v>1143</v>
      </c>
      <c r="B708" s="77" t="s">
        <v>1144</v>
      </c>
      <c r="C708" s="77" t="s">
        <v>1145</v>
      </c>
      <c r="D708" s="16" t="s">
        <v>34</v>
      </c>
      <c r="E708" s="16"/>
      <c r="F708" s="17">
        <f>SUM(F709:F709)+220</f>
        <v>220</v>
      </c>
      <c r="G708" s="17">
        <f>SUM(G709:G709)+220</f>
        <v>220</v>
      </c>
      <c r="H708" s="17">
        <f>SUM(H709:H709)+220</f>
        <v>220</v>
      </c>
      <c r="I708" s="17">
        <f>SUM(I709:I709)+220</f>
        <v>220</v>
      </c>
      <c r="J708" s="16" t="s">
        <v>1146</v>
      </c>
      <c r="K708" s="18" t="s">
        <v>25</v>
      </c>
      <c r="L708" s="18">
        <v>2</v>
      </c>
      <c r="M708" s="18">
        <v>2</v>
      </c>
      <c r="N708" s="19">
        <v>2</v>
      </c>
    </row>
    <row r="709" spans="1:14" ht="15.75" thickBot="1" x14ac:dyDescent="0.3">
      <c r="A709" s="76"/>
      <c r="B709" s="79"/>
      <c r="C709" s="79"/>
      <c r="D709" s="20"/>
      <c r="E709" s="20"/>
      <c r="F709" s="21">
        <v>0</v>
      </c>
      <c r="G709" s="21">
        <v>0</v>
      </c>
      <c r="H709" s="21">
        <v>0</v>
      </c>
      <c r="I709" s="21">
        <v>0</v>
      </c>
      <c r="J709" s="20" t="s">
        <v>1147</v>
      </c>
      <c r="K709" s="22" t="s">
        <v>25</v>
      </c>
      <c r="L709" s="22">
        <v>2</v>
      </c>
      <c r="M709" s="22">
        <v>2</v>
      </c>
      <c r="N709" s="23">
        <v>0</v>
      </c>
    </row>
    <row r="710" spans="1:14" x14ac:dyDescent="0.25">
      <c r="A710" s="74" t="s">
        <v>1148</v>
      </c>
      <c r="B710" s="77" t="s">
        <v>1055</v>
      </c>
      <c r="C710" s="77" t="s">
        <v>1056</v>
      </c>
      <c r="D710" s="16" t="s">
        <v>34</v>
      </c>
      <c r="E710" s="16"/>
      <c r="F710" s="17">
        <f>SUM(F711:F712)+25</f>
        <v>25</v>
      </c>
      <c r="G710" s="17">
        <f>SUM(G711:G712)+25</f>
        <v>25</v>
      </c>
      <c r="H710" s="17">
        <f>SUM(H711:H712)+25</f>
        <v>25</v>
      </c>
      <c r="I710" s="17">
        <f>SUM(I711:I712)+25</f>
        <v>25</v>
      </c>
      <c r="J710" s="16" t="s">
        <v>1135</v>
      </c>
      <c r="K710" s="18" t="s">
        <v>25</v>
      </c>
      <c r="L710" s="18">
        <v>5</v>
      </c>
      <c r="M710" s="18">
        <v>5</v>
      </c>
      <c r="N710" s="19">
        <v>6</v>
      </c>
    </row>
    <row r="711" spans="1:14" x14ac:dyDescent="0.25">
      <c r="A711" s="75"/>
      <c r="B711" s="78"/>
      <c r="C711" s="78"/>
      <c r="D711" s="20"/>
      <c r="E711" s="20"/>
      <c r="F711" s="21">
        <v>0</v>
      </c>
      <c r="G711" s="21">
        <v>0</v>
      </c>
      <c r="H711" s="21">
        <v>0</v>
      </c>
      <c r="I711" s="21">
        <v>0</v>
      </c>
      <c r="J711" s="20" t="s">
        <v>1149</v>
      </c>
      <c r="K711" s="22" t="s">
        <v>251</v>
      </c>
      <c r="L711" s="31">
        <v>1000</v>
      </c>
      <c r="M711" s="31">
        <v>1000</v>
      </c>
      <c r="N711" s="32">
        <v>1000</v>
      </c>
    </row>
    <row r="712" spans="1:14" ht="30.75" thickBot="1" x14ac:dyDescent="0.3">
      <c r="A712" s="76"/>
      <c r="B712" s="79"/>
      <c r="C712" s="79"/>
      <c r="D712" s="20"/>
      <c r="E712" s="20"/>
      <c r="F712" s="21">
        <v>0</v>
      </c>
      <c r="G712" s="21">
        <v>0</v>
      </c>
      <c r="H712" s="21">
        <v>0</v>
      </c>
      <c r="I712" s="21">
        <v>0</v>
      </c>
      <c r="J712" s="20" t="s">
        <v>1150</v>
      </c>
      <c r="K712" s="22" t="s">
        <v>20</v>
      </c>
      <c r="L712" s="22">
        <v>0.6</v>
      </c>
      <c r="M712" s="22">
        <v>0.6</v>
      </c>
      <c r="N712" s="23">
        <v>0.6</v>
      </c>
    </row>
    <row r="713" spans="1:14" x14ac:dyDescent="0.25">
      <c r="A713" s="74" t="s">
        <v>1151</v>
      </c>
      <c r="B713" s="77" t="s">
        <v>1152</v>
      </c>
      <c r="C713" s="77" t="s">
        <v>1153</v>
      </c>
      <c r="D713" s="16"/>
      <c r="E713" s="16"/>
      <c r="F713" s="17">
        <f>SUM(F714:F718)</f>
        <v>50.5</v>
      </c>
      <c r="G713" s="17">
        <f>SUM(G714:G718)</f>
        <v>52.8</v>
      </c>
      <c r="H713" s="17">
        <f>SUM(H714:H718)</f>
        <v>5</v>
      </c>
      <c r="I713" s="17">
        <f>SUM(I714:I718)</f>
        <v>5</v>
      </c>
      <c r="J713" s="16" t="s">
        <v>1154</v>
      </c>
      <c r="K713" s="18" t="s">
        <v>209</v>
      </c>
      <c r="L713" s="18">
        <v>1</v>
      </c>
      <c r="M713" s="18">
        <v>0</v>
      </c>
      <c r="N713" s="19">
        <v>0</v>
      </c>
    </row>
    <row r="714" spans="1:14" ht="30" x14ac:dyDescent="0.25">
      <c r="A714" s="75"/>
      <c r="B714" s="78"/>
      <c r="C714" s="78"/>
      <c r="D714" s="20"/>
      <c r="E714" s="20"/>
      <c r="F714" s="21">
        <v>0</v>
      </c>
      <c r="G714" s="21">
        <v>0</v>
      </c>
      <c r="H714" s="21">
        <v>0</v>
      </c>
      <c r="I714" s="21">
        <v>0</v>
      </c>
      <c r="J714" s="20" t="s">
        <v>1155</v>
      </c>
      <c r="K714" s="22" t="s">
        <v>20</v>
      </c>
      <c r="L714" s="22">
        <v>70</v>
      </c>
      <c r="M714" s="22">
        <v>100</v>
      </c>
      <c r="N714" s="23">
        <v>100</v>
      </c>
    </row>
    <row r="715" spans="1:14" ht="41.25" customHeight="1" x14ac:dyDescent="0.25">
      <c r="A715" s="75"/>
      <c r="B715" s="78"/>
      <c r="C715" s="78"/>
      <c r="D715" s="20"/>
      <c r="E715" s="20"/>
      <c r="F715" s="21">
        <v>0</v>
      </c>
      <c r="G715" s="21">
        <v>0</v>
      </c>
      <c r="H715" s="21">
        <v>0</v>
      </c>
      <c r="I715" s="21">
        <v>0</v>
      </c>
      <c r="J715" s="20" t="s">
        <v>1156</v>
      </c>
      <c r="K715" s="22" t="s">
        <v>251</v>
      </c>
      <c r="L715" s="22">
        <v>60</v>
      </c>
      <c r="M715" s="22">
        <v>60</v>
      </c>
      <c r="N715" s="23">
        <v>60</v>
      </c>
    </row>
    <row r="716" spans="1:14" x14ac:dyDescent="0.25">
      <c r="A716" s="75"/>
      <c r="B716" s="78"/>
      <c r="C716" s="78"/>
      <c r="D716" s="20" t="s">
        <v>123</v>
      </c>
      <c r="E716" s="20"/>
      <c r="F716" s="21">
        <v>41.6</v>
      </c>
      <c r="G716" s="21">
        <v>43.9</v>
      </c>
      <c r="H716" s="21">
        <v>0</v>
      </c>
      <c r="I716" s="21">
        <v>0</v>
      </c>
      <c r="J716" s="20"/>
      <c r="K716" s="22"/>
      <c r="L716" s="22"/>
      <c r="M716" s="22"/>
      <c r="N716" s="23"/>
    </row>
    <row r="717" spans="1:14" x14ac:dyDescent="0.25">
      <c r="A717" s="75"/>
      <c r="B717" s="78"/>
      <c r="C717" s="78"/>
      <c r="D717" s="20" t="s">
        <v>32</v>
      </c>
      <c r="E717" s="20"/>
      <c r="F717" s="21">
        <v>3.9</v>
      </c>
      <c r="G717" s="21">
        <v>3.9</v>
      </c>
      <c r="H717" s="21">
        <v>0</v>
      </c>
      <c r="I717" s="21">
        <v>0</v>
      </c>
      <c r="J717" s="20"/>
      <c r="K717" s="22"/>
      <c r="L717" s="22"/>
      <c r="M717" s="22"/>
      <c r="N717" s="23"/>
    </row>
    <row r="718" spans="1:14" ht="15.75" thickBot="1" x14ac:dyDescent="0.3">
      <c r="A718" s="76"/>
      <c r="B718" s="79"/>
      <c r="C718" s="79"/>
      <c r="D718" s="42" t="s">
        <v>34</v>
      </c>
      <c r="E718" s="42"/>
      <c r="F718" s="43">
        <v>5</v>
      </c>
      <c r="G718" s="43">
        <v>5</v>
      </c>
      <c r="H718" s="43">
        <v>5</v>
      </c>
      <c r="I718" s="43">
        <v>5</v>
      </c>
      <c r="J718" s="42"/>
      <c r="K718" s="44"/>
      <c r="L718" s="44"/>
      <c r="M718" s="44"/>
      <c r="N718" s="45"/>
    </row>
    <row r="719" spans="1:14" s="3" customFormat="1" x14ac:dyDescent="0.25">
      <c r="A719" s="46"/>
      <c r="B719" s="46"/>
      <c r="C719" s="47"/>
      <c r="D719" s="47"/>
      <c r="E719" s="47"/>
      <c r="F719" s="48"/>
      <c r="G719" s="48"/>
      <c r="H719" s="48"/>
      <c r="I719" s="48"/>
      <c r="J719" s="47"/>
      <c r="K719" s="49"/>
      <c r="L719" s="49"/>
      <c r="M719" s="49"/>
      <c r="N719" s="49"/>
    </row>
    <row r="720" spans="1:14" s="3" customFormat="1" x14ac:dyDescent="0.25">
      <c r="A720" s="46"/>
      <c r="B720" s="46"/>
      <c r="C720" s="47"/>
      <c r="D720" s="47"/>
      <c r="E720" s="47"/>
      <c r="F720" s="48"/>
      <c r="G720" s="48"/>
      <c r="H720" s="48"/>
      <c r="I720" s="48"/>
      <c r="J720" s="47"/>
      <c r="K720" s="49"/>
      <c r="L720" s="49"/>
      <c r="M720" s="49"/>
      <c r="N720" s="49"/>
    </row>
    <row r="721" spans="1:14" s="3" customFormat="1" x14ac:dyDescent="0.25">
      <c r="A721" s="46"/>
      <c r="B721" s="46"/>
      <c r="C721" s="47"/>
      <c r="D721" s="47"/>
      <c r="E721" s="47"/>
      <c r="F721" s="48"/>
      <c r="G721" s="48"/>
      <c r="H721" s="48"/>
      <c r="I721" s="48"/>
      <c r="J721" s="47"/>
      <c r="K721" s="49"/>
      <c r="L721" s="49"/>
      <c r="M721" s="49"/>
      <c r="N721" s="49"/>
    </row>
    <row r="722" spans="1:14" s="3" customFormat="1" x14ac:dyDescent="0.25">
      <c r="A722" s="46"/>
      <c r="B722" s="46"/>
      <c r="C722" s="47"/>
      <c r="D722" s="47"/>
      <c r="E722" s="47"/>
      <c r="F722" s="48"/>
      <c r="G722" s="48"/>
      <c r="H722" s="48"/>
      <c r="I722" s="48"/>
      <c r="J722" s="47"/>
      <c r="K722" s="49"/>
      <c r="L722" s="49"/>
      <c r="M722" s="49"/>
      <c r="N722" s="49"/>
    </row>
    <row r="723" spans="1:14" s="3" customFormat="1" x14ac:dyDescent="0.25">
      <c r="A723" s="46"/>
      <c r="B723" s="46"/>
      <c r="C723" s="47"/>
      <c r="D723" s="47"/>
      <c r="E723" s="47"/>
      <c r="F723" s="48"/>
      <c r="G723" s="48"/>
      <c r="H723" s="48"/>
      <c r="I723" s="48"/>
      <c r="J723" s="47"/>
      <c r="K723" s="49"/>
      <c r="L723" s="49"/>
      <c r="M723" s="49"/>
      <c r="N723" s="49"/>
    </row>
    <row r="724" spans="1:14" ht="77.25" customHeight="1" x14ac:dyDescent="0.25">
      <c r="A724" s="57" t="s">
        <v>1</v>
      </c>
      <c r="B724" s="57" t="s">
        <v>2</v>
      </c>
      <c r="C724" s="57" t="s">
        <v>6</v>
      </c>
      <c r="D724" s="57" t="s">
        <v>7</v>
      </c>
      <c r="E724" s="57" t="s">
        <v>8</v>
      </c>
      <c r="F724" s="57" t="s">
        <v>9</v>
      </c>
    </row>
    <row r="725" spans="1:14" ht="42.75" x14ac:dyDescent="0.25">
      <c r="A725" s="58" t="s">
        <v>1157</v>
      </c>
      <c r="B725" s="58" t="s">
        <v>1158</v>
      </c>
      <c r="C725" s="59">
        <f>SUM(C726:C737)-0.1</f>
        <v>272118.5</v>
      </c>
      <c r="D725" s="59">
        <f>SUM(D726:D737)-0.1</f>
        <v>273942.40000000002</v>
      </c>
      <c r="E725" s="59">
        <f>SUM(E726:E737)</f>
        <v>277755.2</v>
      </c>
      <c r="F725" s="59">
        <f>SUM(F726:F737)-0.1</f>
        <v>286602.10000000003</v>
      </c>
    </row>
    <row r="726" spans="1:14" ht="30" x14ac:dyDescent="0.25">
      <c r="A726" s="50" t="s">
        <v>34</v>
      </c>
      <c r="B726" s="50" t="s">
        <v>1159</v>
      </c>
      <c r="C726" s="21">
        <v>118196</v>
      </c>
      <c r="D726" s="21">
        <v>118196</v>
      </c>
      <c r="E726" s="21">
        <v>157196.70000000001</v>
      </c>
      <c r="F726" s="21">
        <v>177709</v>
      </c>
    </row>
    <row r="727" spans="1:14" x14ac:dyDescent="0.25">
      <c r="A727" s="50" t="s">
        <v>149</v>
      </c>
      <c r="B727" s="50" t="s">
        <v>1160</v>
      </c>
      <c r="C727" s="21">
        <v>11037.1</v>
      </c>
      <c r="D727" s="21">
        <v>11037.1</v>
      </c>
      <c r="E727" s="21">
        <v>0</v>
      </c>
      <c r="F727" s="21">
        <v>0</v>
      </c>
    </row>
    <row r="728" spans="1:14" ht="30" x14ac:dyDescent="0.25">
      <c r="A728" s="50" t="s">
        <v>624</v>
      </c>
      <c r="B728" s="50" t="s">
        <v>1161</v>
      </c>
      <c r="C728" s="21">
        <v>60139.9</v>
      </c>
      <c r="D728" s="21">
        <v>60139.9</v>
      </c>
      <c r="E728" s="21">
        <v>60139.9</v>
      </c>
      <c r="F728" s="21">
        <v>60139.9</v>
      </c>
    </row>
    <row r="729" spans="1:14" ht="30" x14ac:dyDescent="0.25">
      <c r="A729" s="50" t="s">
        <v>475</v>
      </c>
      <c r="B729" s="50" t="s">
        <v>1162</v>
      </c>
      <c r="C729" s="21">
        <v>9872.9</v>
      </c>
      <c r="D729" s="21">
        <v>9905.5</v>
      </c>
      <c r="E729" s="21">
        <v>9872.9</v>
      </c>
      <c r="F729" s="21">
        <v>9872.9</v>
      </c>
    </row>
    <row r="730" spans="1:14" x14ac:dyDescent="0.25">
      <c r="A730" s="50" t="s">
        <v>123</v>
      </c>
      <c r="B730" s="50" t="s">
        <v>1163</v>
      </c>
      <c r="C730" s="21">
        <v>10507.5</v>
      </c>
      <c r="D730" s="21">
        <v>11975.4</v>
      </c>
      <c r="E730" s="21">
        <v>10278.200000000001</v>
      </c>
      <c r="F730" s="21">
        <v>9673.7000000000007</v>
      </c>
    </row>
    <row r="731" spans="1:14" ht="30" x14ac:dyDescent="0.25">
      <c r="A731" s="50" t="s">
        <v>275</v>
      </c>
      <c r="B731" s="50" t="s">
        <v>1164</v>
      </c>
      <c r="C731" s="21">
        <v>8548.9</v>
      </c>
      <c r="D731" s="21">
        <v>8713.2999999999993</v>
      </c>
      <c r="E731" s="21">
        <v>5000</v>
      </c>
      <c r="F731" s="21">
        <v>5000</v>
      </c>
    </row>
    <row r="732" spans="1:14" ht="30" x14ac:dyDescent="0.25">
      <c r="A732" s="50" t="s">
        <v>536</v>
      </c>
      <c r="B732" s="50" t="s">
        <v>1165</v>
      </c>
      <c r="C732" s="21">
        <v>1646.7</v>
      </c>
      <c r="D732" s="21">
        <v>1646.7</v>
      </c>
      <c r="E732" s="21">
        <v>0</v>
      </c>
      <c r="F732" s="21">
        <v>0</v>
      </c>
    </row>
    <row r="733" spans="1:14" x14ac:dyDescent="0.25">
      <c r="A733" s="50" t="s">
        <v>323</v>
      </c>
      <c r="B733" s="50" t="s">
        <v>1166</v>
      </c>
      <c r="C733" s="21">
        <v>12735</v>
      </c>
      <c r="D733" s="21">
        <v>12796</v>
      </c>
      <c r="E733" s="21">
        <v>28166</v>
      </c>
      <c r="F733" s="21">
        <v>17077.7</v>
      </c>
    </row>
    <row r="734" spans="1:14" x14ac:dyDescent="0.25">
      <c r="A734" s="50" t="s">
        <v>125</v>
      </c>
      <c r="B734" s="50" t="s">
        <v>1167</v>
      </c>
      <c r="C734" s="21">
        <v>6601.5</v>
      </c>
      <c r="D734" s="21">
        <v>6699.5</v>
      </c>
      <c r="E734" s="21">
        <v>6651.5</v>
      </c>
      <c r="F734" s="21">
        <v>6679</v>
      </c>
    </row>
    <row r="735" spans="1:14" ht="30" x14ac:dyDescent="0.25">
      <c r="A735" s="50" t="s">
        <v>32</v>
      </c>
      <c r="B735" s="50" t="s">
        <v>1168</v>
      </c>
      <c r="C735" s="21">
        <v>32060.1</v>
      </c>
      <c r="D735" s="21">
        <v>32060.1</v>
      </c>
      <c r="E735" s="21">
        <v>0</v>
      </c>
      <c r="F735" s="21">
        <v>0</v>
      </c>
    </row>
    <row r="736" spans="1:14" ht="45" x14ac:dyDescent="0.25">
      <c r="A736" s="50" t="s">
        <v>198</v>
      </c>
      <c r="B736" s="50" t="s">
        <v>1169</v>
      </c>
      <c r="C736" s="21">
        <v>450</v>
      </c>
      <c r="D736" s="21">
        <v>450</v>
      </c>
      <c r="E736" s="21">
        <v>450</v>
      </c>
      <c r="F736" s="21">
        <v>450</v>
      </c>
    </row>
    <row r="737" spans="1:6" ht="45" x14ac:dyDescent="0.25">
      <c r="A737" s="50" t="s">
        <v>215</v>
      </c>
      <c r="B737" s="50" t="s">
        <v>1170</v>
      </c>
      <c r="C737" s="21">
        <v>323</v>
      </c>
      <c r="D737" s="21">
        <v>323</v>
      </c>
      <c r="E737" s="21">
        <v>0</v>
      </c>
      <c r="F737" s="21">
        <v>0</v>
      </c>
    </row>
    <row r="738" spans="1:6" ht="28.5" x14ac:dyDescent="0.25">
      <c r="A738" s="58" t="s">
        <v>1171</v>
      </c>
      <c r="B738" s="58" t="s">
        <v>1172</v>
      </c>
      <c r="C738" s="59">
        <f>SUM(C739:C741)</f>
        <v>45688.3</v>
      </c>
      <c r="D738" s="59">
        <f>SUM(D739:D741)</f>
        <v>45779.3</v>
      </c>
      <c r="E738" s="59">
        <f>SUM(E739:E741)</f>
        <v>44735.3</v>
      </c>
      <c r="F738" s="59">
        <f>SUM(F739:F741)</f>
        <v>44615.9</v>
      </c>
    </row>
    <row r="739" spans="1:6" ht="30" x14ac:dyDescent="0.25">
      <c r="A739" s="50" t="s">
        <v>121</v>
      </c>
      <c r="B739" s="50" t="s">
        <v>1173</v>
      </c>
      <c r="C739" s="21">
        <v>42837.8</v>
      </c>
      <c r="D739" s="21">
        <v>42883.6</v>
      </c>
      <c r="E739" s="21">
        <v>42622.3</v>
      </c>
      <c r="F739" s="21">
        <v>42625.3</v>
      </c>
    </row>
    <row r="740" spans="1:6" ht="30" x14ac:dyDescent="0.25">
      <c r="A740" s="50" t="s">
        <v>128</v>
      </c>
      <c r="B740" s="50" t="s">
        <v>1174</v>
      </c>
      <c r="C740" s="21">
        <v>1547.3</v>
      </c>
      <c r="D740" s="21">
        <v>1584.4</v>
      </c>
      <c r="E740" s="21">
        <v>1009.3</v>
      </c>
      <c r="F740" s="21">
        <v>929.5</v>
      </c>
    </row>
    <row r="741" spans="1:6" x14ac:dyDescent="0.25">
      <c r="A741" s="50" t="s">
        <v>118</v>
      </c>
      <c r="B741" s="50" t="s">
        <v>1175</v>
      </c>
      <c r="C741" s="21">
        <v>1303.2</v>
      </c>
      <c r="D741" s="21">
        <v>1311.3</v>
      </c>
      <c r="E741" s="21">
        <v>1103.7</v>
      </c>
      <c r="F741" s="21">
        <v>1061.0999999999999</v>
      </c>
    </row>
    <row r="742" spans="1:6" ht="42.75" x14ac:dyDescent="0.25">
      <c r="A742" s="51"/>
      <c r="B742" s="52" t="s">
        <v>1181</v>
      </c>
      <c r="C742" s="53">
        <f>C725+C738</f>
        <v>317806.8</v>
      </c>
      <c r="D742" s="53">
        <f>D725+D738</f>
        <v>319721.7</v>
      </c>
      <c r="E742" s="53">
        <f>E725+E738</f>
        <v>322490.5</v>
      </c>
      <c r="F742" s="53">
        <f>F725+F738</f>
        <v>331218.00000000006</v>
      </c>
    </row>
  </sheetData>
  <mergeCells count="567">
    <mergeCell ref="A713:A718"/>
    <mergeCell ref="B713:B718"/>
    <mergeCell ref="C713:C718"/>
    <mergeCell ref="A708:A709"/>
    <mergeCell ref="B708:B709"/>
    <mergeCell ref="C708:C709"/>
    <mergeCell ref="A710:A712"/>
    <mergeCell ref="B710:B712"/>
    <mergeCell ref="C710:C712"/>
    <mergeCell ref="A701:A704"/>
    <mergeCell ref="B701:B704"/>
    <mergeCell ref="C701:C704"/>
    <mergeCell ref="A705:A706"/>
    <mergeCell ref="B705:B706"/>
    <mergeCell ref="C705:C706"/>
    <mergeCell ref="B693:E693"/>
    <mergeCell ref="J693:N693"/>
    <mergeCell ref="A697:A698"/>
    <mergeCell ref="B697:E698"/>
    <mergeCell ref="B699:E699"/>
    <mergeCell ref="J699:N699"/>
    <mergeCell ref="A687:A689"/>
    <mergeCell ref="B687:B689"/>
    <mergeCell ref="C687:C689"/>
    <mergeCell ref="A691:A692"/>
    <mergeCell ref="B691:B692"/>
    <mergeCell ref="C691:C692"/>
    <mergeCell ref="B683:E683"/>
    <mergeCell ref="J683:N683"/>
    <mergeCell ref="A684:A686"/>
    <mergeCell ref="B684:B686"/>
    <mergeCell ref="C684:C686"/>
    <mergeCell ref="B678:E678"/>
    <mergeCell ref="J678:N678"/>
    <mergeCell ref="A680:A682"/>
    <mergeCell ref="B680:B682"/>
    <mergeCell ref="C680:C682"/>
    <mergeCell ref="A670:A671"/>
    <mergeCell ref="B670:B671"/>
    <mergeCell ref="C670:C671"/>
    <mergeCell ref="A672:A674"/>
    <mergeCell ref="B672:B674"/>
    <mergeCell ref="C672:C674"/>
    <mergeCell ref="A650:A652"/>
    <mergeCell ref="B650:B652"/>
    <mergeCell ref="C650:C652"/>
    <mergeCell ref="B653:E653"/>
    <mergeCell ref="J653:N653"/>
    <mergeCell ref="A643:A645"/>
    <mergeCell ref="B643:B645"/>
    <mergeCell ref="C643:C645"/>
    <mergeCell ref="A647:A649"/>
    <mergeCell ref="B647:B649"/>
    <mergeCell ref="C647:C649"/>
    <mergeCell ref="A637:A639"/>
    <mergeCell ref="B637:B639"/>
    <mergeCell ref="C637:C639"/>
    <mergeCell ref="A640:A642"/>
    <mergeCell ref="B640:B642"/>
    <mergeCell ref="C640:C642"/>
    <mergeCell ref="A623:A633"/>
    <mergeCell ref="B623:B633"/>
    <mergeCell ref="C623:C633"/>
    <mergeCell ref="A634:A636"/>
    <mergeCell ref="B634:B636"/>
    <mergeCell ref="C634:C636"/>
    <mergeCell ref="C618:E618"/>
    <mergeCell ref="J618:N618"/>
    <mergeCell ref="A619:A621"/>
    <mergeCell ref="B619:E621"/>
    <mergeCell ref="B622:E622"/>
    <mergeCell ref="J622:N622"/>
    <mergeCell ref="A611:A613"/>
    <mergeCell ref="B611:B613"/>
    <mergeCell ref="C611:C613"/>
    <mergeCell ref="A614:A616"/>
    <mergeCell ref="B614:B616"/>
    <mergeCell ref="C614:C616"/>
    <mergeCell ref="A605:A606"/>
    <mergeCell ref="B605:B606"/>
    <mergeCell ref="C605:C606"/>
    <mergeCell ref="A607:A608"/>
    <mergeCell ref="B607:B608"/>
    <mergeCell ref="C607:C608"/>
    <mergeCell ref="B599:E599"/>
    <mergeCell ref="J599:N599"/>
    <mergeCell ref="A600:A604"/>
    <mergeCell ref="B600:B604"/>
    <mergeCell ref="C600:C604"/>
    <mergeCell ref="A593:A594"/>
    <mergeCell ref="B593:B594"/>
    <mergeCell ref="C593:C594"/>
    <mergeCell ref="A595:A597"/>
    <mergeCell ref="B595:B597"/>
    <mergeCell ref="C595:C597"/>
    <mergeCell ref="A586:A589"/>
    <mergeCell ref="B586:B589"/>
    <mergeCell ref="C586:C589"/>
    <mergeCell ref="B590:E590"/>
    <mergeCell ref="J590:N590"/>
    <mergeCell ref="A578:A580"/>
    <mergeCell ref="B578:B580"/>
    <mergeCell ref="C578:C580"/>
    <mergeCell ref="A581:A584"/>
    <mergeCell ref="B581:B584"/>
    <mergeCell ref="C581:C584"/>
    <mergeCell ref="A573:A575"/>
    <mergeCell ref="B573:B575"/>
    <mergeCell ref="C573:C575"/>
    <mergeCell ref="A576:A577"/>
    <mergeCell ref="B576:B577"/>
    <mergeCell ref="C576:C577"/>
    <mergeCell ref="A567:A569"/>
    <mergeCell ref="B567:B569"/>
    <mergeCell ref="C567:C569"/>
    <mergeCell ref="A570:A572"/>
    <mergeCell ref="B570:B572"/>
    <mergeCell ref="C570:C572"/>
    <mergeCell ref="A553:A557"/>
    <mergeCell ref="B553:B557"/>
    <mergeCell ref="C553:C557"/>
    <mergeCell ref="A558:A566"/>
    <mergeCell ref="B558:B566"/>
    <mergeCell ref="C558:C566"/>
    <mergeCell ref="A542:A547"/>
    <mergeCell ref="B542:B547"/>
    <mergeCell ref="C542:C547"/>
    <mergeCell ref="A549:A552"/>
    <mergeCell ref="B549:B552"/>
    <mergeCell ref="C549:C552"/>
    <mergeCell ref="C537:E537"/>
    <mergeCell ref="J537:N537"/>
    <mergeCell ref="A538:A540"/>
    <mergeCell ref="B538:E540"/>
    <mergeCell ref="B541:E541"/>
    <mergeCell ref="J541:N541"/>
    <mergeCell ref="A530:A531"/>
    <mergeCell ref="B530:B531"/>
    <mergeCell ref="C530:C531"/>
    <mergeCell ref="A532:A536"/>
    <mergeCell ref="B532:B536"/>
    <mergeCell ref="C532:C536"/>
    <mergeCell ref="B525:E525"/>
    <mergeCell ref="J525:N525"/>
    <mergeCell ref="A526:A528"/>
    <mergeCell ref="B526:B528"/>
    <mergeCell ref="C526:C528"/>
    <mergeCell ref="A517:A521"/>
    <mergeCell ref="B517:B521"/>
    <mergeCell ref="C517:C521"/>
    <mergeCell ref="A522:A524"/>
    <mergeCell ref="B522:B524"/>
    <mergeCell ref="C522:C524"/>
    <mergeCell ref="B510:E510"/>
    <mergeCell ref="J510:N510"/>
    <mergeCell ref="A511:A516"/>
    <mergeCell ref="B511:B516"/>
    <mergeCell ref="C511:C516"/>
    <mergeCell ref="A503:A505"/>
    <mergeCell ref="B503:B505"/>
    <mergeCell ref="C503:C505"/>
    <mergeCell ref="A506:A509"/>
    <mergeCell ref="B506:B509"/>
    <mergeCell ref="C506:C509"/>
    <mergeCell ref="A496:A499"/>
    <mergeCell ref="B496:B499"/>
    <mergeCell ref="C496:C499"/>
    <mergeCell ref="A500:A502"/>
    <mergeCell ref="B500:B502"/>
    <mergeCell ref="C500:C502"/>
    <mergeCell ref="A490:A492"/>
    <mergeCell ref="B490:B492"/>
    <mergeCell ref="C490:C492"/>
    <mergeCell ref="A493:A495"/>
    <mergeCell ref="B493:B495"/>
    <mergeCell ref="C493:C495"/>
    <mergeCell ref="C487:E487"/>
    <mergeCell ref="J487:N487"/>
    <mergeCell ref="B488:E488"/>
    <mergeCell ref="B489:E489"/>
    <mergeCell ref="J489:N489"/>
    <mergeCell ref="A481:A483"/>
    <mergeCell ref="B481:B483"/>
    <mergeCell ref="C481:C483"/>
    <mergeCell ref="A484:A486"/>
    <mergeCell ref="B484:B486"/>
    <mergeCell ref="C484:C486"/>
    <mergeCell ref="A475:A477"/>
    <mergeCell ref="B475:B477"/>
    <mergeCell ref="C475:C477"/>
    <mergeCell ref="A478:A480"/>
    <mergeCell ref="B478:B480"/>
    <mergeCell ref="C478:C480"/>
    <mergeCell ref="A466:A468"/>
    <mergeCell ref="B466:B468"/>
    <mergeCell ref="C466:C468"/>
    <mergeCell ref="A469:A474"/>
    <mergeCell ref="B469:B474"/>
    <mergeCell ref="C469:C474"/>
    <mergeCell ref="A459:A462"/>
    <mergeCell ref="B459:B462"/>
    <mergeCell ref="C459:C462"/>
    <mergeCell ref="A463:A465"/>
    <mergeCell ref="B463:B465"/>
    <mergeCell ref="C463:C465"/>
    <mergeCell ref="A450:A452"/>
    <mergeCell ref="B450:B452"/>
    <mergeCell ref="C450:C452"/>
    <mergeCell ref="A453:A456"/>
    <mergeCell ref="B453:B456"/>
    <mergeCell ref="C453:C456"/>
    <mergeCell ref="A444:A446"/>
    <mergeCell ref="B444:B446"/>
    <mergeCell ref="C444:C446"/>
    <mergeCell ref="A447:A449"/>
    <mergeCell ref="B447:B449"/>
    <mergeCell ref="C447:C449"/>
    <mergeCell ref="A434:A440"/>
    <mergeCell ref="B434:B440"/>
    <mergeCell ref="C434:C440"/>
    <mergeCell ref="A441:A443"/>
    <mergeCell ref="B441:B443"/>
    <mergeCell ref="C441:C443"/>
    <mergeCell ref="A428:A430"/>
    <mergeCell ref="B428:B430"/>
    <mergeCell ref="C428:C430"/>
    <mergeCell ref="A431:A433"/>
    <mergeCell ref="B431:B433"/>
    <mergeCell ref="C431:C433"/>
    <mergeCell ref="J417:N417"/>
    <mergeCell ref="A418:A419"/>
    <mergeCell ref="B418:B419"/>
    <mergeCell ref="C418:C419"/>
    <mergeCell ref="A421:A425"/>
    <mergeCell ref="B421:B425"/>
    <mergeCell ref="C421:C425"/>
    <mergeCell ref="A413:A415"/>
    <mergeCell ref="B413:B415"/>
    <mergeCell ref="C413:C415"/>
    <mergeCell ref="B416:E416"/>
    <mergeCell ref="B417:E417"/>
    <mergeCell ref="A404:A406"/>
    <mergeCell ref="B404:B406"/>
    <mergeCell ref="C404:C406"/>
    <mergeCell ref="A409:A411"/>
    <mergeCell ref="B409:B411"/>
    <mergeCell ref="C409:C411"/>
    <mergeCell ref="A389:A391"/>
    <mergeCell ref="B389:B391"/>
    <mergeCell ref="C389:C391"/>
    <mergeCell ref="A393:A401"/>
    <mergeCell ref="B393:B401"/>
    <mergeCell ref="C393:C401"/>
    <mergeCell ref="A378:A380"/>
    <mergeCell ref="B378:B380"/>
    <mergeCell ref="C378:C380"/>
    <mergeCell ref="A381:A388"/>
    <mergeCell ref="B381:B388"/>
    <mergeCell ref="C381:C388"/>
    <mergeCell ref="B366:B374"/>
    <mergeCell ref="A366:A374"/>
    <mergeCell ref="C366:C374"/>
    <mergeCell ref="A375:A376"/>
    <mergeCell ref="B375:B376"/>
    <mergeCell ref="C375:C376"/>
    <mergeCell ref="A353:A362"/>
    <mergeCell ref="B353:B362"/>
    <mergeCell ref="C353:C362"/>
    <mergeCell ref="B365:E365"/>
    <mergeCell ref="J365:N365"/>
    <mergeCell ref="A340:A347"/>
    <mergeCell ref="B340:B347"/>
    <mergeCell ref="C340:C347"/>
    <mergeCell ref="A349:A352"/>
    <mergeCell ref="B349:B352"/>
    <mergeCell ref="C349:C352"/>
    <mergeCell ref="J336:N336"/>
    <mergeCell ref="C336:E336"/>
    <mergeCell ref="A337:A338"/>
    <mergeCell ref="B337:E338"/>
    <mergeCell ref="B339:E339"/>
    <mergeCell ref="J339:N339"/>
    <mergeCell ref="B332:E332"/>
    <mergeCell ref="J332:N332"/>
    <mergeCell ref="A333:A334"/>
    <mergeCell ref="B333:B334"/>
    <mergeCell ref="C333:C334"/>
    <mergeCell ref="A326:A327"/>
    <mergeCell ref="B326:B327"/>
    <mergeCell ref="C326:C327"/>
    <mergeCell ref="A328:A331"/>
    <mergeCell ref="B328:B331"/>
    <mergeCell ref="C328:C331"/>
    <mergeCell ref="A318:A319"/>
    <mergeCell ref="B318:B319"/>
    <mergeCell ref="C318:C319"/>
    <mergeCell ref="A320:A324"/>
    <mergeCell ref="B320:B324"/>
    <mergeCell ref="C320:C324"/>
    <mergeCell ref="A312:A315"/>
    <mergeCell ref="B312:B315"/>
    <mergeCell ref="C312:C315"/>
    <mergeCell ref="A316:A317"/>
    <mergeCell ref="B316:B317"/>
    <mergeCell ref="C316:C317"/>
    <mergeCell ref="A304:A309"/>
    <mergeCell ref="B304:B309"/>
    <mergeCell ref="C304:C309"/>
    <mergeCell ref="B311:E311"/>
    <mergeCell ref="J311:N311"/>
    <mergeCell ref="A297:A299"/>
    <mergeCell ref="B297:B299"/>
    <mergeCell ref="C297:C299"/>
    <mergeCell ref="A300:A303"/>
    <mergeCell ref="B300:B303"/>
    <mergeCell ref="C300:C303"/>
    <mergeCell ref="A290:A294"/>
    <mergeCell ref="B290:B294"/>
    <mergeCell ref="C290:C294"/>
    <mergeCell ref="A295:A296"/>
    <mergeCell ref="B295:B296"/>
    <mergeCell ref="C295:C296"/>
    <mergeCell ref="A279:A280"/>
    <mergeCell ref="B279:E280"/>
    <mergeCell ref="B281:E281"/>
    <mergeCell ref="J281:N281"/>
    <mergeCell ref="A282:A289"/>
    <mergeCell ref="B282:B289"/>
    <mergeCell ref="C282:C289"/>
    <mergeCell ref="A271:A275"/>
    <mergeCell ref="B271:B275"/>
    <mergeCell ref="C271:C275"/>
    <mergeCell ref="C278:E278"/>
    <mergeCell ref="J278:N278"/>
    <mergeCell ref="A265:A267"/>
    <mergeCell ref="B265:B267"/>
    <mergeCell ref="C265:C267"/>
    <mergeCell ref="B269:E269"/>
    <mergeCell ref="J269:N269"/>
    <mergeCell ref="B260:E260"/>
    <mergeCell ref="J260:N260"/>
    <mergeCell ref="A261:A262"/>
    <mergeCell ref="B261:B262"/>
    <mergeCell ref="C261:C262"/>
    <mergeCell ref="A253:A255"/>
    <mergeCell ref="B253:B255"/>
    <mergeCell ref="C253:C255"/>
    <mergeCell ref="A257:A259"/>
    <mergeCell ref="B257:B259"/>
    <mergeCell ref="C257:C259"/>
    <mergeCell ref="C250:E250"/>
    <mergeCell ref="J250:N250"/>
    <mergeCell ref="B251:E251"/>
    <mergeCell ref="B252:E252"/>
    <mergeCell ref="J252:N252"/>
    <mergeCell ref="A236:A239"/>
    <mergeCell ref="B236:B239"/>
    <mergeCell ref="C236:C239"/>
    <mergeCell ref="A240:A248"/>
    <mergeCell ref="B240:B248"/>
    <mergeCell ref="C240:C248"/>
    <mergeCell ref="A229:A233"/>
    <mergeCell ref="B229:B233"/>
    <mergeCell ref="C229:C233"/>
    <mergeCell ref="A234:A235"/>
    <mergeCell ref="B234:B235"/>
    <mergeCell ref="C234:C235"/>
    <mergeCell ref="B225:E225"/>
    <mergeCell ref="J225:N225"/>
    <mergeCell ref="A226:A228"/>
    <mergeCell ref="B226:B228"/>
    <mergeCell ref="C226:C228"/>
    <mergeCell ref="A219:A221"/>
    <mergeCell ref="B219:B221"/>
    <mergeCell ref="C219:C221"/>
    <mergeCell ref="A222:A223"/>
    <mergeCell ref="B222:B223"/>
    <mergeCell ref="C222:C223"/>
    <mergeCell ref="C212:E212"/>
    <mergeCell ref="J212:N212"/>
    <mergeCell ref="A213:A216"/>
    <mergeCell ref="B213:E216"/>
    <mergeCell ref="B217:E217"/>
    <mergeCell ref="J217:N217"/>
    <mergeCell ref="A205:A208"/>
    <mergeCell ref="B205:B208"/>
    <mergeCell ref="C205:C208"/>
    <mergeCell ref="A209:A211"/>
    <mergeCell ref="B209:B211"/>
    <mergeCell ref="C209:C211"/>
    <mergeCell ref="A197:A201"/>
    <mergeCell ref="B197:B201"/>
    <mergeCell ref="C197:C201"/>
    <mergeCell ref="B204:E204"/>
    <mergeCell ref="J204:N204"/>
    <mergeCell ref="A191:A193"/>
    <mergeCell ref="B191:B193"/>
    <mergeCell ref="C191:C193"/>
    <mergeCell ref="A194:A196"/>
    <mergeCell ref="B194:B196"/>
    <mergeCell ref="C194:C196"/>
    <mergeCell ref="B183:E183"/>
    <mergeCell ref="B184:E184"/>
    <mergeCell ref="J184:N184"/>
    <mergeCell ref="A185:A190"/>
    <mergeCell ref="B185:B190"/>
    <mergeCell ref="C185:C190"/>
    <mergeCell ref="A175:A178"/>
    <mergeCell ref="B175:B178"/>
    <mergeCell ref="C175:C178"/>
    <mergeCell ref="A179:A182"/>
    <mergeCell ref="B179:B182"/>
    <mergeCell ref="C179:C182"/>
    <mergeCell ref="A169:A170"/>
    <mergeCell ref="B169:B170"/>
    <mergeCell ref="C169:C170"/>
    <mergeCell ref="A171:A174"/>
    <mergeCell ref="B171:B174"/>
    <mergeCell ref="C171:C174"/>
    <mergeCell ref="A161:A164"/>
    <mergeCell ref="B161:B164"/>
    <mergeCell ref="C161:C164"/>
    <mergeCell ref="B165:E165"/>
    <mergeCell ref="J165:N165"/>
    <mergeCell ref="A155:A157"/>
    <mergeCell ref="B155:B157"/>
    <mergeCell ref="C155:C157"/>
    <mergeCell ref="A158:A160"/>
    <mergeCell ref="B158:B160"/>
    <mergeCell ref="C158:C160"/>
    <mergeCell ref="A151:A153"/>
    <mergeCell ref="B151:B153"/>
    <mergeCell ref="C151:C153"/>
    <mergeCell ref="B154:E154"/>
    <mergeCell ref="J154:N154"/>
    <mergeCell ref="B145:E145"/>
    <mergeCell ref="J145:N145"/>
    <mergeCell ref="A146:A149"/>
    <mergeCell ref="B146:B149"/>
    <mergeCell ref="C146:C149"/>
    <mergeCell ref="A140:A142"/>
    <mergeCell ref="B140:B142"/>
    <mergeCell ref="C140:C142"/>
    <mergeCell ref="C143:E143"/>
    <mergeCell ref="B144:E144"/>
    <mergeCell ref="A132:A135"/>
    <mergeCell ref="B132:B135"/>
    <mergeCell ref="C132:C135"/>
    <mergeCell ref="B138:E138"/>
    <mergeCell ref="J138:N138"/>
    <mergeCell ref="A125:A127"/>
    <mergeCell ref="B125:B127"/>
    <mergeCell ref="C125:C127"/>
    <mergeCell ref="A128:A131"/>
    <mergeCell ref="B128:B131"/>
    <mergeCell ref="C128:C131"/>
    <mergeCell ref="A120:A123"/>
    <mergeCell ref="B120:B123"/>
    <mergeCell ref="C120:C123"/>
    <mergeCell ref="B124:E124"/>
    <mergeCell ref="J124:N124"/>
    <mergeCell ref="B117:E117"/>
    <mergeCell ref="J117:N117"/>
    <mergeCell ref="A118:A119"/>
    <mergeCell ref="B118:B119"/>
    <mergeCell ref="C118:C119"/>
    <mergeCell ref="A111:A113"/>
    <mergeCell ref="B111:B113"/>
    <mergeCell ref="C111:C113"/>
    <mergeCell ref="A114:A116"/>
    <mergeCell ref="B114:B116"/>
    <mergeCell ref="C114:C116"/>
    <mergeCell ref="A106:A108"/>
    <mergeCell ref="B106:B108"/>
    <mergeCell ref="C106:C108"/>
    <mergeCell ref="A109:A110"/>
    <mergeCell ref="B109:B110"/>
    <mergeCell ref="C109:C110"/>
    <mergeCell ref="C103:E103"/>
    <mergeCell ref="J103:N103"/>
    <mergeCell ref="B104:E104"/>
    <mergeCell ref="B105:E105"/>
    <mergeCell ref="J105:N105"/>
    <mergeCell ref="A95:A97"/>
    <mergeCell ref="B95:B97"/>
    <mergeCell ref="C95:C97"/>
    <mergeCell ref="B100:E100"/>
    <mergeCell ref="J100:N100"/>
    <mergeCell ref="A90:A93"/>
    <mergeCell ref="B90:E93"/>
    <mergeCell ref="B94:E94"/>
    <mergeCell ref="J94:N94"/>
    <mergeCell ref="A82:A84"/>
    <mergeCell ref="B82:B84"/>
    <mergeCell ref="C82:C84"/>
    <mergeCell ref="A85:A88"/>
    <mergeCell ref="B85:B88"/>
    <mergeCell ref="C85:C88"/>
    <mergeCell ref="A76:A78"/>
    <mergeCell ref="B76:B78"/>
    <mergeCell ref="C76:C78"/>
    <mergeCell ref="A79:A81"/>
    <mergeCell ref="B79:B81"/>
    <mergeCell ref="C79:C81"/>
    <mergeCell ref="B65:E65"/>
    <mergeCell ref="J65:N65"/>
    <mergeCell ref="A66:A75"/>
    <mergeCell ref="B66:B75"/>
    <mergeCell ref="C66:C75"/>
    <mergeCell ref="A55:A57"/>
    <mergeCell ref="B55:E57"/>
    <mergeCell ref="B58:E58"/>
    <mergeCell ref="J58:N58"/>
    <mergeCell ref="A62:A64"/>
    <mergeCell ref="B62:B64"/>
    <mergeCell ref="C62:C64"/>
    <mergeCell ref="A51:A53"/>
    <mergeCell ref="B51:B53"/>
    <mergeCell ref="C51:C53"/>
    <mergeCell ref="C54:E54"/>
    <mergeCell ref="J54:N54"/>
    <mergeCell ref="B47:E47"/>
    <mergeCell ref="J47:N47"/>
    <mergeCell ref="A48:A50"/>
    <mergeCell ref="B48:B50"/>
    <mergeCell ref="C48:C50"/>
    <mergeCell ref="B41:E41"/>
    <mergeCell ref="J41:N41"/>
    <mergeCell ref="A42:A45"/>
    <mergeCell ref="B42:B45"/>
    <mergeCell ref="C42:C45"/>
    <mergeCell ref="A34:A36"/>
    <mergeCell ref="B34:B36"/>
    <mergeCell ref="C34:C36"/>
    <mergeCell ref="A38:A40"/>
    <mergeCell ref="B38:B40"/>
    <mergeCell ref="C38:C40"/>
    <mergeCell ref="A30:A31"/>
    <mergeCell ref="B30:B31"/>
    <mergeCell ref="C30:C31"/>
    <mergeCell ref="B33:E33"/>
    <mergeCell ref="J33:N33"/>
    <mergeCell ref="A16:A18"/>
    <mergeCell ref="B16:B18"/>
    <mergeCell ref="C16:C18"/>
    <mergeCell ref="A19:A29"/>
    <mergeCell ref="B19:B29"/>
    <mergeCell ref="C19:C29"/>
    <mergeCell ref="C13:E13"/>
    <mergeCell ref="J13:N13"/>
    <mergeCell ref="B14:E14"/>
    <mergeCell ref="B15:E15"/>
    <mergeCell ref="J15:N15"/>
    <mergeCell ref="A7:N7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  <mergeCell ref="J11:J12"/>
    <mergeCell ref="K11:K12"/>
    <mergeCell ref="J10:N10"/>
    <mergeCell ref="L11:N11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dcterms:created xsi:type="dcterms:W3CDTF">2024-04-15T05:53:06Z</dcterms:created>
  <dcterms:modified xsi:type="dcterms:W3CDTF">2024-04-18T07:49:09Z</dcterms:modified>
</cp:coreProperties>
</file>