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9\Teisės aktai\Tarybos sprendimai\2019-09-26\"/>
    </mc:Choice>
  </mc:AlternateContent>
  <xr:revisionPtr revIDLastSave="0" documentId="13_ncr:1_{F33DC0EF-5C55-4DAD-B144-FA45EA20F137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2019" sheetId="3" r:id="rId1"/>
  </sheets>
  <definedNames>
    <definedName name="_xlnm.Print_Titles" localSheetId="0">'2019'!$8:$10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6" i="3" l="1"/>
  <c r="H236" i="3"/>
  <c r="J356" i="3" l="1"/>
  <c r="K356" i="3"/>
  <c r="I355" i="3"/>
  <c r="K355" i="3"/>
  <c r="J355" i="3"/>
  <c r="J341" i="3" l="1"/>
  <c r="I341" i="3"/>
  <c r="I45" i="3"/>
  <c r="J318" i="3"/>
  <c r="I318" i="3"/>
  <c r="I304" i="3" l="1"/>
  <c r="I27" i="3"/>
  <c r="I356" i="3" s="1"/>
  <c r="J78" i="3" l="1"/>
  <c r="I321" i="3"/>
  <c r="I40" i="3"/>
  <c r="I82" i="3"/>
  <c r="J352" i="3" l="1"/>
  <c r="K352" i="3"/>
  <c r="I352" i="3"/>
  <c r="I282" i="3"/>
  <c r="I270" i="3"/>
  <c r="I258" i="3"/>
  <c r="H258" i="3" s="1"/>
  <c r="H259" i="3"/>
  <c r="I234" i="3"/>
  <c r="I201" i="3"/>
  <c r="I175" i="3"/>
  <c r="I163" i="3"/>
  <c r="I138" i="3"/>
  <c r="H103" i="3"/>
  <c r="K133" i="3" l="1"/>
  <c r="J350" i="3" l="1"/>
  <c r="I350" i="3" l="1"/>
  <c r="K350" i="3"/>
  <c r="K358" i="3" l="1"/>
  <c r="I80" i="3" l="1"/>
  <c r="K80" i="3"/>
  <c r="D83" i="3"/>
  <c r="H83" i="3"/>
  <c r="H225" i="3" l="1"/>
  <c r="I351" i="3" l="1"/>
  <c r="I23" i="3"/>
  <c r="I358" i="3" l="1"/>
  <c r="J358" i="3"/>
  <c r="H15" i="3" l="1"/>
  <c r="I360" i="3"/>
  <c r="K360" i="3" l="1"/>
  <c r="J359" i="3" l="1"/>
  <c r="K359" i="3"/>
  <c r="L359" i="3"/>
  <c r="J357" i="3"/>
  <c r="K357" i="3"/>
  <c r="I357" i="3"/>
  <c r="H39" i="3"/>
  <c r="H21" i="3"/>
  <c r="H22" i="3"/>
  <c r="J354" i="3"/>
  <c r="H357" i="3" l="1"/>
  <c r="J74" i="3" l="1"/>
  <c r="I359" i="3" l="1"/>
  <c r="L349" i="3"/>
  <c r="J353" i="3"/>
  <c r="J99" i="3" l="1"/>
  <c r="K99" i="3"/>
  <c r="I99" i="3"/>
  <c r="J317" i="3"/>
  <c r="K317" i="3"/>
  <c r="I317" i="3"/>
  <c r="J326" i="3"/>
  <c r="K326" i="3"/>
  <c r="H330" i="3"/>
  <c r="H148" i="3"/>
  <c r="H125" i="3"/>
  <c r="H114" i="3"/>
  <c r="J218" i="3"/>
  <c r="J217" i="3" s="1"/>
  <c r="H222" i="3"/>
  <c r="H52" i="3"/>
  <c r="H77" i="3"/>
  <c r="H38" i="3"/>
  <c r="H46" i="3"/>
  <c r="I74" i="3"/>
  <c r="J252" i="3"/>
  <c r="K252" i="3"/>
  <c r="I252" i="3"/>
  <c r="I250" i="3" s="1"/>
  <c r="L279" i="3"/>
  <c r="H256" i="3"/>
  <c r="K218" i="3"/>
  <c r="K217" i="3" s="1"/>
  <c r="I218" i="3"/>
  <c r="I217" i="3" s="1"/>
  <c r="H61" i="3"/>
  <c r="K65" i="3"/>
  <c r="I65" i="3"/>
  <c r="J309" i="3"/>
  <c r="I309" i="3"/>
  <c r="H313" i="3"/>
  <c r="H69" i="3"/>
  <c r="H317" i="3" l="1"/>
  <c r="J65" i="3"/>
  <c r="H347" i="3" l="1"/>
  <c r="H221" i="3" l="1"/>
  <c r="I326" i="3"/>
  <c r="H312" i="3"/>
  <c r="H68" i="3"/>
  <c r="H60" i="3"/>
  <c r="H348" i="3" l="1"/>
  <c r="H14" i="3" l="1"/>
  <c r="H28" i="3" l="1"/>
  <c r="K353" i="3"/>
  <c r="I353" i="3"/>
  <c r="J351" i="3"/>
  <c r="H23" i="3"/>
  <c r="K17" i="3" l="1"/>
  <c r="I12" i="3"/>
  <c r="J25" i="3"/>
  <c r="J364" i="3" s="1"/>
  <c r="I57" i="3"/>
  <c r="I240" i="3"/>
  <c r="H41" i="3"/>
  <c r="H352" i="3"/>
  <c r="I333" i="3"/>
  <c r="I288" i="3"/>
  <c r="I157" i="3"/>
  <c r="K351" i="3"/>
  <c r="D134" i="3"/>
  <c r="H134" i="3"/>
  <c r="I121" i="3"/>
  <c r="D92" i="3"/>
  <c r="H92" i="3"/>
  <c r="D56" i="3"/>
  <c r="H56" i="3"/>
  <c r="H318" i="3"/>
  <c r="H319" i="3"/>
  <c r="H321" i="3"/>
  <c r="I300" i="3"/>
  <c r="K300" i="3"/>
  <c r="K298" i="3" s="1"/>
  <c r="K288" i="3"/>
  <c r="I276" i="3"/>
  <c r="I274" i="3" s="1"/>
  <c r="K276" i="3"/>
  <c r="I264" i="3"/>
  <c r="I262" i="3" s="1"/>
  <c r="K264" i="3"/>
  <c r="H252" i="3"/>
  <c r="K240" i="3"/>
  <c r="I228" i="3"/>
  <c r="I226" i="3" s="1"/>
  <c r="K228" i="3"/>
  <c r="H218" i="3"/>
  <c r="I207" i="3"/>
  <c r="I205" i="3" s="1"/>
  <c r="K207" i="3"/>
  <c r="I195" i="3"/>
  <c r="K195" i="3"/>
  <c r="I182" i="3"/>
  <c r="K182" i="3"/>
  <c r="I169" i="3"/>
  <c r="I167" i="3" s="1"/>
  <c r="K169" i="3"/>
  <c r="K157" i="3"/>
  <c r="I144" i="3"/>
  <c r="K144" i="3"/>
  <c r="I132" i="3"/>
  <c r="I130" i="3" s="1"/>
  <c r="K132" i="3"/>
  <c r="K121" i="3"/>
  <c r="K119" i="3" s="1"/>
  <c r="I110" i="3"/>
  <c r="I108" i="3" s="1"/>
  <c r="K110" i="3"/>
  <c r="K108" i="3" s="1"/>
  <c r="I97" i="3"/>
  <c r="I87" i="3"/>
  <c r="I85" i="3" s="1"/>
  <c r="K87" i="3"/>
  <c r="K85" i="3" s="1"/>
  <c r="K57" i="3"/>
  <c r="K55" i="3" s="1"/>
  <c r="K12" i="3"/>
  <c r="G218" i="3"/>
  <c r="F219" i="3"/>
  <c r="F218" i="3" s="1"/>
  <c r="E219" i="3"/>
  <c r="E218" i="3" s="1"/>
  <c r="D223" i="3"/>
  <c r="K316" i="3"/>
  <c r="G317" i="3"/>
  <c r="F317" i="3"/>
  <c r="E317" i="3"/>
  <c r="D318" i="3"/>
  <c r="D319" i="3"/>
  <c r="D321" i="3"/>
  <c r="H89" i="3"/>
  <c r="H101" i="3"/>
  <c r="F36" i="3"/>
  <c r="F35" i="3" s="1"/>
  <c r="E36" i="3"/>
  <c r="E35" i="3" s="1"/>
  <c r="F310" i="3"/>
  <c r="F309" i="3" s="1"/>
  <c r="F307" i="3" s="1"/>
  <c r="E310" i="3"/>
  <c r="D310" i="3" s="1"/>
  <c r="F301" i="3"/>
  <c r="F300" i="3" s="1"/>
  <c r="F298" i="3" s="1"/>
  <c r="E301" i="3"/>
  <c r="E300" i="3" s="1"/>
  <c r="F66" i="3"/>
  <c r="F65" i="3" s="1"/>
  <c r="F64" i="3" s="1"/>
  <c r="E66" i="3"/>
  <c r="D66" i="3" s="1"/>
  <c r="G354" i="3"/>
  <c r="F58" i="3"/>
  <c r="F57" i="3" s="1"/>
  <c r="E58" i="3"/>
  <c r="E57" i="3" s="1"/>
  <c r="E333" i="3"/>
  <c r="G80" i="3"/>
  <c r="G35" i="3"/>
  <c r="G49" i="3"/>
  <c r="G48" i="3" s="1"/>
  <c r="F49" i="3"/>
  <c r="F48" i="3" s="1"/>
  <c r="E80" i="3"/>
  <c r="E49" i="3"/>
  <c r="E48" i="3" s="1"/>
  <c r="D345" i="3"/>
  <c r="D338" i="3"/>
  <c r="D335" i="3"/>
  <c r="D332" i="3"/>
  <c r="D315" i="3"/>
  <c r="D306" i="3"/>
  <c r="D297" i="3"/>
  <c r="D285" i="3"/>
  <c r="D273" i="3"/>
  <c r="D261" i="3"/>
  <c r="D249" i="3"/>
  <c r="D237" i="3"/>
  <c r="D216" i="3"/>
  <c r="D204" i="3"/>
  <c r="D191" i="3"/>
  <c r="D179" i="3"/>
  <c r="D166" i="3"/>
  <c r="D154" i="3"/>
  <c r="D141" i="3"/>
  <c r="D129" i="3"/>
  <c r="D118" i="3"/>
  <c r="D96" i="3"/>
  <c r="D323" i="3"/>
  <c r="D63" i="3"/>
  <c r="D71" i="3"/>
  <c r="D79" i="3"/>
  <c r="G341" i="3"/>
  <c r="G294" i="3"/>
  <c r="G282" i="3"/>
  <c r="G270" i="3"/>
  <c r="G246" i="3"/>
  <c r="G213" i="3"/>
  <c r="G201" i="3"/>
  <c r="G188" i="3"/>
  <c r="G175" i="3"/>
  <c r="G163" i="3"/>
  <c r="G150" i="3"/>
  <c r="G138" i="3"/>
  <c r="G30" i="3"/>
  <c r="F341" i="3"/>
  <c r="F339" i="3" s="1"/>
  <c r="F294" i="3"/>
  <c r="F282" i="3"/>
  <c r="F270" i="3"/>
  <c r="F246" i="3"/>
  <c r="F213" i="3"/>
  <c r="F201" i="3"/>
  <c r="F188" i="3"/>
  <c r="F175" i="3"/>
  <c r="F163" i="3"/>
  <c r="F150" i="3"/>
  <c r="F138" i="3"/>
  <c r="F30" i="3"/>
  <c r="F44" i="3"/>
  <c r="F43" i="3" s="1"/>
  <c r="F74" i="3"/>
  <c r="F72" i="3" s="1"/>
  <c r="E341" i="3"/>
  <c r="E294" i="3"/>
  <c r="E282" i="3"/>
  <c r="E270" i="3"/>
  <c r="E246" i="3"/>
  <c r="D246" i="3" s="1"/>
  <c r="E213" i="3"/>
  <c r="E201" i="3"/>
  <c r="E188" i="3"/>
  <c r="D188" i="3" s="1"/>
  <c r="E175" i="3"/>
  <c r="E163" i="3"/>
  <c r="E150" i="3"/>
  <c r="E138" i="3"/>
  <c r="E30" i="3"/>
  <c r="E44" i="3"/>
  <c r="E43" i="3" s="1"/>
  <c r="E74" i="3"/>
  <c r="E73" i="3" s="1"/>
  <c r="D305" i="3"/>
  <c r="D260" i="3"/>
  <c r="D235" i="3"/>
  <c r="D128" i="3"/>
  <c r="D117" i="3"/>
  <c r="D106" i="3"/>
  <c r="D95" i="3"/>
  <c r="D322" i="3"/>
  <c r="G25" i="3"/>
  <c r="G364" i="3" s="1"/>
  <c r="F25" i="3"/>
  <c r="F364" i="3" s="1"/>
  <c r="E25" i="3"/>
  <c r="E364" i="3" s="1"/>
  <c r="G17" i="3"/>
  <c r="G363" i="3" s="1"/>
  <c r="F17" i="3"/>
  <c r="F363" i="3" s="1"/>
  <c r="E17" i="3"/>
  <c r="E363" i="3" s="1"/>
  <c r="D224" i="3"/>
  <c r="G326" i="3"/>
  <c r="G324" i="3" s="1"/>
  <c r="G316" i="3"/>
  <c r="G309" i="3"/>
  <c r="G307" i="3" s="1"/>
  <c r="G300" i="3"/>
  <c r="G298" i="3" s="1"/>
  <c r="G288" i="3"/>
  <c r="G276" i="3"/>
  <c r="G264" i="3"/>
  <c r="G252" i="3"/>
  <c r="G250" i="3" s="1"/>
  <c r="G240" i="3"/>
  <c r="G228" i="3"/>
  <c r="G217" i="3"/>
  <c r="G360" i="3" s="1"/>
  <c r="G207" i="3"/>
  <c r="G195" i="3"/>
  <c r="G182" i="3"/>
  <c r="G180" i="3" s="1"/>
  <c r="G169" i="3"/>
  <c r="G157" i="3"/>
  <c r="G144" i="3"/>
  <c r="G142" i="3" s="1"/>
  <c r="G132" i="3"/>
  <c r="G130" i="3" s="1"/>
  <c r="G121" i="3"/>
  <c r="G119" i="3" s="1"/>
  <c r="G110" i="3"/>
  <c r="G108" i="3" s="1"/>
  <c r="G99" i="3"/>
  <c r="G97" i="3" s="1"/>
  <c r="G87" i="3"/>
  <c r="G85" i="3" s="1"/>
  <c r="G57" i="3"/>
  <c r="G55" i="3" s="1"/>
  <c r="F326" i="3"/>
  <c r="F324" i="3" s="1"/>
  <c r="F316" i="3"/>
  <c r="F288" i="3"/>
  <c r="F276" i="3"/>
  <c r="F264" i="3"/>
  <c r="F252" i="3"/>
  <c r="F250" i="3" s="1"/>
  <c r="F240" i="3"/>
  <c r="F228" i="3"/>
  <c r="F207" i="3"/>
  <c r="F195" i="3"/>
  <c r="F182" i="3"/>
  <c r="F169" i="3"/>
  <c r="F157" i="3"/>
  <c r="F144" i="3"/>
  <c r="F132" i="3"/>
  <c r="F121" i="3"/>
  <c r="F119" i="3" s="1"/>
  <c r="F110" i="3"/>
  <c r="F108" i="3" s="1"/>
  <c r="F99" i="3"/>
  <c r="F97" i="3" s="1"/>
  <c r="F87" i="3"/>
  <c r="F85" i="3" s="1"/>
  <c r="F12" i="3"/>
  <c r="E326" i="3"/>
  <c r="E324" i="3" s="1"/>
  <c r="E316" i="3"/>
  <c r="E288" i="3"/>
  <c r="E276" i="3"/>
  <c r="E264" i="3"/>
  <c r="E252" i="3"/>
  <c r="E250" i="3" s="1"/>
  <c r="E240" i="3"/>
  <c r="E228" i="3"/>
  <c r="E217" i="3"/>
  <c r="E207" i="3"/>
  <c r="E205" i="3" s="1"/>
  <c r="E195" i="3"/>
  <c r="E182" i="3"/>
  <c r="E169" i="3"/>
  <c r="E157" i="3"/>
  <c r="E144" i="3"/>
  <c r="E132" i="3"/>
  <c r="E121" i="3"/>
  <c r="E119" i="3" s="1"/>
  <c r="E110" i="3"/>
  <c r="E99" i="3"/>
  <c r="E97" i="3" s="1"/>
  <c r="E87" i="3"/>
  <c r="E85" i="3" s="1"/>
  <c r="E12" i="3"/>
  <c r="G361" i="3"/>
  <c r="F361" i="3"/>
  <c r="E361" i="3"/>
  <c r="F360" i="3"/>
  <c r="E360" i="3"/>
  <c r="G359" i="3"/>
  <c r="F359" i="3"/>
  <c r="E359" i="3"/>
  <c r="G358" i="3"/>
  <c r="F358" i="3"/>
  <c r="E358" i="3"/>
  <c r="G357" i="3"/>
  <c r="D357" i="3" s="1"/>
  <c r="F357" i="3"/>
  <c r="G356" i="3"/>
  <c r="F356" i="3"/>
  <c r="E356" i="3"/>
  <c r="G355" i="3"/>
  <c r="F355" i="3"/>
  <c r="E355" i="3"/>
  <c r="F354" i="3"/>
  <c r="E354" i="3"/>
  <c r="G353" i="3"/>
  <c r="F353" i="3"/>
  <c r="E353" i="3"/>
  <c r="G352" i="3"/>
  <c r="F352" i="3"/>
  <c r="E352" i="3"/>
  <c r="G351" i="3"/>
  <c r="F351" i="3"/>
  <c r="E351" i="3"/>
  <c r="G350" i="3"/>
  <c r="G339" i="3"/>
  <c r="G336" i="3"/>
  <c r="G333" i="3"/>
  <c r="G234" i="3"/>
  <c r="F336" i="3"/>
  <c r="F333" i="3"/>
  <c r="F234" i="3"/>
  <c r="E336" i="3"/>
  <c r="E234" i="3"/>
  <c r="D344" i="3"/>
  <c r="D343" i="3"/>
  <c r="D342" i="3"/>
  <c r="D331" i="3"/>
  <c r="D329" i="3"/>
  <c r="D328" i="3"/>
  <c r="D327" i="3"/>
  <c r="D320" i="3"/>
  <c r="D314" i="3"/>
  <c r="D311" i="3"/>
  <c r="D304" i="3"/>
  <c r="D303" i="3"/>
  <c r="D302" i="3"/>
  <c r="D296" i="3"/>
  <c r="D295" i="3"/>
  <c r="D293" i="3"/>
  <c r="D292" i="3"/>
  <c r="D291" i="3"/>
  <c r="D290" i="3"/>
  <c r="D289" i="3"/>
  <c r="D284" i="3"/>
  <c r="D283" i="3"/>
  <c r="D281" i="3"/>
  <c r="D280" i="3"/>
  <c r="D279" i="3"/>
  <c r="D278" i="3"/>
  <c r="D277" i="3"/>
  <c r="D272" i="3"/>
  <c r="D271" i="3"/>
  <c r="D269" i="3"/>
  <c r="D268" i="3"/>
  <c r="D267" i="3"/>
  <c r="D266" i="3"/>
  <c r="D265" i="3"/>
  <c r="D257" i="3"/>
  <c r="D255" i="3"/>
  <c r="D254" i="3"/>
  <c r="D253" i="3"/>
  <c r="D248" i="3"/>
  <c r="D247" i="3"/>
  <c r="D245" i="3"/>
  <c r="D244" i="3"/>
  <c r="D243" i="3"/>
  <c r="D242" i="3"/>
  <c r="D241" i="3"/>
  <c r="D233" i="3"/>
  <c r="D232" i="3"/>
  <c r="D231" i="3"/>
  <c r="D230" i="3"/>
  <c r="D229" i="3"/>
  <c r="D220" i="3"/>
  <c r="D215" i="3"/>
  <c r="D214" i="3"/>
  <c r="D212" i="3"/>
  <c r="D211" i="3"/>
  <c r="D210" i="3"/>
  <c r="D209" i="3"/>
  <c r="D208" i="3"/>
  <c r="D203" i="3"/>
  <c r="D202" i="3"/>
  <c r="D200" i="3"/>
  <c r="D199" i="3"/>
  <c r="D198" i="3"/>
  <c r="D197" i="3"/>
  <c r="D196" i="3"/>
  <c r="D190" i="3"/>
  <c r="D189" i="3"/>
  <c r="D187" i="3"/>
  <c r="D186" i="3"/>
  <c r="D185" i="3"/>
  <c r="D184" i="3"/>
  <c r="D183" i="3"/>
  <c r="D178" i="3"/>
  <c r="D177" i="3"/>
  <c r="D176" i="3"/>
  <c r="D174" i="3"/>
  <c r="D173" i="3"/>
  <c r="D172" i="3"/>
  <c r="D171" i="3"/>
  <c r="D170" i="3"/>
  <c r="D165" i="3"/>
  <c r="D164" i="3"/>
  <c r="D162" i="3"/>
  <c r="D161" i="3"/>
  <c r="D160" i="3"/>
  <c r="D159" i="3"/>
  <c r="D158" i="3"/>
  <c r="D153" i="3"/>
  <c r="D152" i="3"/>
  <c r="D151" i="3"/>
  <c r="D149" i="3"/>
  <c r="D148" i="3"/>
  <c r="D147" i="3"/>
  <c r="D146" i="3"/>
  <c r="D145" i="3"/>
  <c r="D140" i="3"/>
  <c r="D139" i="3"/>
  <c r="D137" i="3"/>
  <c r="D136" i="3"/>
  <c r="D135" i="3"/>
  <c r="D133" i="3"/>
  <c r="D127" i="3"/>
  <c r="D126" i="3"/>
  <c r="D124" i="3"/>
  <c r="D123" i="3"/>
  <c r="D122" i="3"/>
  <c r="D116" i="3"/>
  <c r="D115" i="3"/>
  <c r="D113" i="3"/>
  <c r="D112" i="3"/>
  <c r="D111" i="3"/>
  <c r="D105" i="3"/>
  <c r="D104" i="3"/>
  <c r="D102" i="3"/>
  <c r="D101" i="3"/>
  <c r="D100" i="3"/>
  <c r="G98" i="3"/>
  <c r="F98" i="3"/>
  <c r="E98" i="3"/>
  <c r="D93" i="3"/>
  <c r="D91" i="3"/>
  <c r="D90" i="3"/>
  <c r="D89" i="3"/>
  <c r="D88" i="3"/>
  <c r="D86" i="3"/>
  <c r="D84" i="3"/>
  <c r="D82" i="3"/>
  <c r="G81" i="3"/>
  <c r="F81" i="3"/>
  <c r="E81" i="3"/>
  <c r="D78" i="3"/>
  <c r="D76" i="3"/>
  <c r="D75" i="3"/>
  <c r="G74" i="3"/>
  <c r="G72" i="3" s="1"/>
  <c r="D70" i="3"/>
  <c r="D67" i="3"/>
  <c r="G65" i="3"/>
  <c r="G64" i="3" s="1"/>
  <c r="D62" i="3"/>
  <c r="D59" i="3"/>
  <c r="D53" i="3"/>
  <c r="D51" i="3"/>
  <c r="D50" i="3"/>
  <c r="D47" i="3"/>
  <c r="D45" i="3"/>
  <c r="G44" i="3"/>
  <c r="D42" i="3"/>
  <c r="D40" i="3"/>
  <c r="D37" i="3"/>
  <c r="D34" i="3"/>
  <c r="D33" i="3"/>
  <c r="D32" i="3"/>
  <c r="D31" i="3"/>
  <c r="D29" i="3"/>
  <c r="D27" i="3"/>
  <c r="D26" i="3"/>
  <c r="D24" i="3"/>
  <c r="D20" i="3"/>
  <c r="D19" i="3"/>
  <c r="D18" i="3"/>
  <c r="D13" i="3"/>
  <c r="G12" i="3"/>
  <c r="I17" i="3"/>
  <c r="I363" i="3" s="1"/>
  <c r="I25" i="3"/>
  <c r="I364" i="3" s="1"/>
  <c r="H32" i="3"/>
  <c r="K25" i="3"/>
  <c r="K364" i="3" s="1"/>
  <c r="K30" i="3"/>
  <c r="K35" i="3"/>
  <c r="J12" i="3"/>
  <c r="J87" i="3"/>
  <c r="J85" i="3" s="1"/>
  <c r="J264" i="3"/>
  <c r="J262" i="3" s="1"/>
  <c r="J17" i="3"/>
  <c r="J363" i="3" s="1"/>
  <c r="J30" i="3"/>
  <c r="H18" i="3"/>
  <c r="H26" i="3"/>
  <c r="H31" i="3"/>
  <c r="H19" i="3"/>
  <c r="H37" i="3"/>
  <c r="H16" i="3"/>
  <c r="L16" i="3" s="1"/>
  <c r="H33" i="3"/>
  <c r="H24" i="3"/>
  <c r="H34" i="3"/>
  <c r="H29" i="3"/>
  <c r="H42" i="3"/>
  <c r="H45" i="3"/>
  <c r="K44" i="3"/>
  <c r="K43" i="3" s="1"/>
  <c r="J44" i="3"/>
  <c r="J43" i="3" s="1"/>
  <c r="I49" i="3"/>
  <c r="I48" i="3" s="1"/>
  <c r="K49" i="3"/>
  <c r="K48" i="3" s="1"/>
  <c r="J49" i="3"/>
  <c r="J48" i="3" s="1"/>
  <c r="H50" i="3"/>
  <c r="H51" i="3"/>
  <c r="H53" i="3"/>
  <c r="J57" i="3"/>
  <c r="J55" i="3" s="1"/>
  <c r="H59" i="3"/>
  <c r="H62" i="3"/>
  <c r="H63" i="3"/>
  <c r="K64" i="3"/>
  <c r="J64" i="3"/>
  <c r="H66" i="3"/>
  <c r="H67" i="3"/>
  <c r="H70" i="3"/>
  <c r="H71" i="3"/>
  <c r="H78" i="3"/>
  <c r="K74" i="3"/>
  <c r="K72" i="3" s="1"/>
  <c r="H79" i="3"/>
  <c r="K81" i="3"/>
  <c r="J81" i="3"/>
  <c r="H84" i="3"/>
  <c r="H95" i="3"/>
  <c r="H86" i="3"/>
  <c r="H88" i="3"/>
  <c r="H90" i="3"/>
  <c r="H91" i="3"/>
  <c r="H93" i="3"/>
  <c r="H96" i="3"/>
  <c r="K97" i="3"/>
  <c r="J97" i="3"/>
  <c r="K98" i="3"/>
  <c r="J98" i="3"/>
  <c r="H100" i="3"/>
  <c r="H102" i="3"/>
  <c r="H104" i="3"/>
  <c r="H105" i="3"/>
  <c r="H106" i="3"/>
  <c r="H107" i="3"/>
  <c r="J110" i="3"/>
  <c r="J108" i="3" s="1"/>
  <c r="H111" i="3"/>
  <c r="H112" i="3"/>
  <c r="H113" i="3"/>
  <c r="H115" i="3"/>
  <c r="H116" i="3"/>
  <c r="H117" i="3"/>
  <c r="H118" i="3"/>
  <c r="H128" i="3"/>
  <c r="J121" i="3"/>
  <c r="J119" i="3" s="1"/>
  <c r="H122" i="3"/>
  <c r="H123" i="3"/>
  <c r="H124" i="3"/>
  <c r="H126" i="3"/>
  <c r="H127" i="3"/>
  <c r="H129" i="3"/>
  <c r="J132" i="3"/>
  <c r="H135" i="3"/>
  <c r="H136" i="3"/>
  <c r="H137" i="3"/>
  <c r="H140" i="3"/>
  <c r="H141" i="3"/>
  <c r="I150" i="3"/>
  <c r="K150" i="3"/>
  <c r="J144" i="3"/>
  <c r="J150" i="3"/>
  <c r="H145" i="3"/>
  <c r="H146" i="3"/>
  <c r="H147" i="3"/>
  <c r="H149" i="3"/>
  <c r="H152" i="3"/>
  <c r="H153" i="3"/>
  <c r="H154" i="3"/>
  <c r="K163" i="3"/>
  <c r="J157" i="3"/>
  <c r="J155" i="3" s="1"/>
  <c r="H158" i="3"/>
  <c r="H159" i="3"/>
  <c r="H160" i="3"/>
  <c r="H161" i="3"/>
  <c r="H162" i="3"/>
  <c r="H164" i="3"/>
  <c r="H166" i="3"/>
  <c r="K175" i="3"/>
  <c r="J169" i="3"/>
  <c r="J175" i="3"/>
  <c r="H171" i="3"/>
  <c r="H172" i="3"/>
  <c r="H173" i="3"/>
  <c r="H174" i="3"/>
  <c r="H177" i="3"/>
  <c r="H178" i="3"/>
  <c r="H179" i="3"/>
  <c r="I188" i="3"/>
  <c r="I180" i="3" s="1"/>
  <c r="K188" i="3"/>
  <c r="J182" i="3"/>
  <c r="J188" i="3"/>
  <c r="H183" i="3"/>
  <c r="H184" i="3"/>
  <c r="H185" i="3"/>
  <c r="H186" i="3"/>
  <c r="H187" i="3"/>
  <c r="H190" i="3"/>
  <c r="H191" i="3"/>
  <c r="K201" i="3"/>
  <c r="J195" i="3"/>
  <c r="J201" i="3"/>
  <c r="H196" i="3"/>
  <c r="H197" i="3"/>
  <c r="H198" i="3"/>
  <c r="H199" i="3"/>
  <c r="H200" i="3"/>
  <c r="H203" i="3"/>
  <c r="H204" i="3"/>
  <c r="H214" i="3"/>
  <c r="K213" i="3"/>
  <c r="H213" i="3" s="1"/>
  <c r="J207" i="3"/>
  <c r="J205" i="3" s="1"/>
  <c r="H208" i="3"/>
  <c r="H209" i="3"/>
  <c r="H210" i="3"/>
  <c r="H211" i="3"/>
  <c r="H212" i="3"/>
  <c r="H215" i="3"/>
  <c r="H216" i="3"/>
  <c r="H220" i="3"/>
  <c r="H223" i="3"/>
  <c r="H224" i="3"/>
  <c r="K234" i="3"/>
  <c r="J228" i="3"/>
  <c r="J234" i="3"/>
  <c r="H229" i="3"/>
  <c r="H230" i="3"/>
  <c r="H231" i="3"/>
  <c r="H232" i="3"/>
  <c r="H233" i="3"/>
  <c r="H237" i="3"/>
  <c r="K246" i="3"/>
  <c r="J240" i="3"/>
  <c r="J246" i="3"/>
  <c r="H242" i="3"/>
  <c r="H243" i="3"/>
  <c r="H244" i="3"/>
  <c r="H245" i="3"/>
  <c r="H247" i="3"/>
  <c r="H249" i="3"/>
  <c r="H260" i="3"/>
  <c r="K250" i="3"/>
  <c r="J250" i="3"/>
  <c r="H253" i="3"/>
  <c r="H254" i="3"/>
  <c r="H255" i="3"/>
  <c r="H257" i="3"/>
  <c r="H261" i="3"/>
  <c r="K270" i="3"/>
  <c r="H265" i="3"/>
  <c r="H266" i="3"/>
  <c r="H267" i="3"/>
  <c r="H268" i="3"/>
  <c r="H269" i="3"/>
  <c r="H271" i="3"/>
  <c r="H273" i="3"/>
  <c r="K282" i="3"/>
  <c r="J276" i="3"/>
  <c r="J282" i="3"/>
  <c r="H277" i="3"/>
  <c r="H278" i="3"/>
  <c r="H279" i="3"/>
  <c r="H280" i="3"/>
  <c r="H281" i="3"/>
  <c r="H283" i="3"/>
  <c r="H284" i="3"/>
  <c r="H285" i="3"/>
  <c r="I294" i="3"/>
  <c r="K294" i="3"/>
  <c r="J288" i="3"/>
  <c r="J294" i="3"/>
  <c r="H289" i="3"/>
  <c r="H290" i="3"/>
  <c r="H291" i="3"/>
  <c r="H292" i="3"/>
  <c r="H293" i="3"/>
  <c r="H295" i="3"/>
  <c r="H297" i="3"/>
  <c r="J300" i="3"/>
  <c r="J298" i="3" s="1"/>
  <c r="H302" i="3"/>
  <c r="H303" i="3"/>
  <c r="H304" i="3"/>
  <c r="H305" i="3"/>
  <c r="H306" i="3"/>
  <c r="I307" i="3"/>
  <c r="J307" i="3"/>
  <c r="H310" i="3"/>
  <c r="H311" i="3"/>
  <c r="H314" i="3"/>
  <c r="H315" i="3"/>
  <c r="J316" i="3"/>
  <c r="H320" i="3"/>
  <c r="H322" i="3"/>
  <c r="H323" i="3"/>
  <c r="I324" i="3"/>
  <c r="J324" i="3"/>
  <c r="H327" i="3"/>
  <c r="H328" i="3"/>
  <c r="H329" i="3"/>
  <c r="H331" i="3"/>
  <c r="H332" i="3"/>
  <c r="K333" i="3"/>
  <c r="J333" i="3"/>
  <c r="H335" i="3"/>
  <c r="I336" i="3"/>
  <c r="K336" i="3"/>
  <c r="J336" i="3"/>
  <c r="H338" i="3"/>
  <c r="I339" i="3"/>
  <c r="J339" i="3"/>
  <c r="K341" i="3"/>
  <c r="K339" i="3" s="1"/>
  <c r="H342" i="3"/>
  <c r="H343" i="3"/>
  <c r="H344" i="3"/>
  <c r="H345" i="3"/>
  <c r="J360" i="3"/>
  <c r="I361" i="3"/>
  <c r="K361" i="3"/>
  <c r="J361" i="3"/>
  <c r="I30" i="3"/>
  <c r="I35" i="3"/>
  <c r="J72" i="3"/>
  <c r="H301" i="3"/>
  <c r="H139" i="3"/>
  <c r="H27" i="3"/>
  <c r="H356" i="3"/>
  <c r="H248" i="3"/>
  <c r="K324" i="3"/>
  <c r="H202" i="3"/>
  <c r="H133" i="3"/>
  <c r="I316" i="3"/>
  <c r="H165" i="3"/>
  <c r="D36" i="3"/>
  <c r="H241" i="3"/>
  <c r="I98" i="3"/>
  <c r="J35" i="3"/>
  <c r="H40" i="3"/>
  <c r="H36" i="3"/>
  <c r="H170" i="3"/>
  <c r="I81" i="3"/>
  <c r="H47" i="3"/>
  <c r="H235" i="3"/>
  <c r="H219" i="3"/>
  <c r="H189" i="3"/>
  <c r="H176" i="3"/>
  <c r="H75" i="3"/>
  <c r="H151" i="3"/>
  <c r="H82" i="3"/>
  <c r="I72" i="3"/>
  <c r="I44" i="3"/>
  <c r="D219" i="3"/>
  <c r="H272" i="3"/>
  <c r="H76" i="3"/>
  <c r="H296" i="3"/>
  <c r="J73" i="3"/>
  <c r="I73" i="3"/>
  <c r="K238" i="3" l="1"/>
  <c r="G193" i="3"/>
  <c r="D201" i="3"/>
  <c r="D175" i="3"/>
  <c r="D341" i="3"/>
  <c r="D44" i="3"/>
  <c r="F226" i="3"/>
  <c r="D169" i="3"/>
  <c r="D270" i="3"/>
  <c r="D110" i="3"/>
  <c r="D150" i="3"/>
  <c r="D282" i="3"/>
  <c r="D80" i="3"/>
  <c r="D144" i="3"/>
  <c r="D240" i="3"/>
  <c r="K193" i="3"/>
  <c r="J365" i="3"/>
  <c r="K365" i="3"/>
  <c r="D250" i="3"/>
  <c r="D157" i="3"/>
  <c r="D218" i="3"/>
  <c r="D121" i="3"/>
  <c r="E130" i="3"/>
  <c r="D130" i="3" s="1"/>
  <c r="G262" i="3"/>
  <c r="E226" i="3"/>
  <c r="K274" i="3"/>
  <c r="H274" i="3" s="1"/>
  <c r="K155" i="3"/>
  <c r="D119" i="3"/>
  <c r="E65" i="3"/>
  <c r="E64" i="3" s="1"/>
  <c r="D64" i="3" s="1"/>
  <c r="D316" i="3"/>
  <c r="H44" i="3"/>
  <c r="K167" i="3"/>
  <c r="H167" i="3" s="1"/>
  <c r="D301" i="3"/>
  <c r="D333" i="3"/>
  <c r="K73" i="3"/>
  <c r="H73" i="3" s="1"/>
  <c r="J238" i="3"/>
  <c r="D58" i="3"/>
  <c r="E72" i="3"/>
  <c r="D72" i="3" s="1"/>
  <c r="H333" i="3"/>
  <c r="D97" i="3"/>
  <c r="E142" i="3"/>
  <c r="D142" i="3" s="1"/>
  <c r="D195" i="3"/>
  <c r="D288" i="3"/>
  <c r="F286" i="3"/>
  <c r="G274" i="3"/>
  <c r="D355" i="3"/>
  <c r="D163" i="3"/>
  <c r="D276" i="3"/>
  <c r="F262" i="3"/>
  <c r="F155" i="3"/>
  <c r="F130" i="3"/>
  <c r="D17" i="3"/>
  <c r="D363" i="3" s="1"/>
  <c r="H336" i="3"/>
  <c r="E286" i="3"/>
  <c r="D358" i="3"/>
  <c r="J366" i="3"/>
  <c r="H361" i="3"/>
  <c r="E167" i="3"/>
  <c r="H246" i="3"/>
  <c r="G73" i="3"/>
  <c r="D73" i="3" s="1"/>
  <c r="K142" i="3"/>
  <c r="G11" i="3"/>
  <c r="E108" i="3"/>
  <c r="D108" i="3" s="1"/>
  <c r="D354" i="3"/>
  <c r="F217" i="3"/>
  <c r="F362" i="3" s="1"/>
  <c r="G238" i="3"/>
  <c r="K286" i="3"/>
  <c r="K262" i="3"/>
  <c r="H262" i="3" s="1"/>
  <c r="D356" i="3"/>
  <c r="D359" i="3"/>
  <c r="E238" i="3"/>
  <c r="G167" i="3"/>
  <c r="K366" i="3"/>
  <c r="F180" i="3"/>
  <c r="I366" i="3"/>
  <c r="H81" i="3"/>
  <c r="D138" i="3"/>
  <c r="I286" i="3"/>
  <c r="H144" i="3"/>
  <c r="H132" i="3"/>
  <c r="D252" i="3"/>
  <c r="G362" i="3"/>
  <c r="H121" i="3"/>
  <c r="H157" i="3"/>
  <c r="K363" i="3"/>
  <c r="D264" i="3"/>
  <c r="H324" i="3"/>
  <c r="H30" i="3"/>
  <c r="H195" i="3"/>
  <c r="H98" i="3"/>
  <c r="H108" i="3"/>
  <c r="K130" i="3"/>
  <c r="H130" i="3" s="1"/>
  <c r="H316" i="3"/>
  <c r="I119" i="3"/>
  <c r="H119" i="3" s="1"/>
  <c r="H85" i="3"/>
  <c r="H49" i="3"/>
  <c r="H35" i="3"/>
  <c r="H25" i="3"/>
  <c r="H364" i="3" s="1"/>
  <c r="D12" i="3"/>
  <c r="D182" i="3"/>
  <c r="G43" i="3"/>
  <c r="D43" i="3" s="1"/>
  <c r="E193" i="3"/>
  <c r="D193" i="3" s="1"/>
  <c r="D74" i="3"/>
  <c r="D217" i="3"/>
  <c r="E262" i="3"/>
  <c r="F142" i="3"/>
  <c r="D48" i="3"/>
  <c r="H188" i="3"/>
  <c r="D99" i="3"/>
  <c r="E274" i="3"/>
  <c r="H163" i="3"/>
  <c r="H201" i="3"/>
  <c r="H175" i="3"/>
  <c r="D49" i="3"/>
  <c r="F73" i="3"/>
  <c r="D98" i="3"/>
  <c r="G226" i="3"/>
  <c r="D132" i="3"/>
  <c r="E180" i="3"/>
  <c r="D180" i="3" s="1"/>
  <c r="D228" i="3"/>
  <c r="F205" i="3"/>
  <c r="G205" i="3"/>
  <c r="D205" i="3" s="1"/>
  <c r="H72" i="3"/>
  <c r="D85" i="3"/>
  <c r="F274" i="3"/>
  <c r="H87" i="3"/>
  <c r="H80" i="3"/>
  <c r="K309" i="3"/>
  <c r="K362" i="3" s="1"/>
  <c r="H339" i="3"/>
  <c r="J226" i="3"/>
  <c r="H217" i="3"/>
  <c r="J193" i="3"/>
  <c r="H150" i="3"/>
  <c r="D336" i="3"/>
  <c r="F365" i="3"/>
  <c r="H300" i="3"/>
  <c r="D81" i="3"/>
  <c r="D213" i="3"/>
  <c r="K180" i="3"/>
  <c r="H180" i="3" s="1"/>
  <c r="K205" i="3"/>
  <c r="H205" i="3" s="1"/>
  <c r="E155" i="3"/>
  <c r="G155" i="3"/>
  <c r="F238" i="3"/>
  <c r="J167" i="3"/>
  <c r="H288" i="3"/>
  <c r="G286" i="3"/>
  <c r="H97" i="3"/>
  <c r="H341" i="3"/>
  <c r="H358" i="3"/>
  <c r="J130" i="3"/>
  <c r="J274" i="3"/>
  <c r="D324" i="3"/>
  <c r="D353" i="3"/>
  <c r="H110" i="3"/>
  <c r="J142" i="3"/>
  <c r="H359" i="3"/>
  <c r="H65" i="3"/>
  <c r="H351" i="3"/>
  <c r="H74" i="3"/>
  <c r="I155" i="3"/>
  <c r="H250" i="3"/>
  <c r="D294" i="3"/>
  <c r="E11" i="3"/>
  <c r="D326" i="3"/>
  <c r="H353" i="3"/>
  <c r="J362" i="3"/>
  <c r="K226" i="3"/>
  <c r="J180" i="3"/>
  <c r="D30" i="3"/>
  <c r="D317" i="3"/>
  <c r="H182" i="3"/>
  <c r="H207" i="3"/>
  <c r="H228" i="3"/>
  <c r="H276" i="3"/>
  <c r="J11" i="3"/>
  <c r="H48" i="3"/>
  <c r="D25" i="3"/>
  <c r="D364" i="3" s="1"/>
  <c r="I298" i="3"/>
  <c r="H298" i="3" s="1"/>
  <c r="E339" i="3"/>
  <c r="D339" i="3" s="1"/>
  <c r="H20" i="3"/>
  <c r="D234" i="3"/>
  <c r="E350" i="3"/>
  <c r="D350" i="3" s="1"/>
  <c r="D352" i="3"/>
  <c r="D360" i="3"/>
  <c r="D361" i="3"/>
  <c r="F193" i="3"/>
  <c r="G366" i="3"/>
  <c r="E365" i="3"/>
  <c r="H355" i="3"/>
  <c r="K354" i="3"/>
  <c r="H354" i="3" s="1"/>
  <c r="J286" i="3"/>
  <c r="H360" i="3"/>
  <c r="I142" i="3"/>
  <c r="I64" i="3"/>
  <c r="H64" i="3" s="1"/>
  <c r="H58" i="3"/>
  <c r="H13" i="3"/>
  <c r="L13" i="3" s="1"/>
  <c r="F350" i="3"/>
  <c r="D351" i="3"/>
  <c r="F167" i="3"/>
  <c r="D87" i="3"/>
  <c r="H99" i="3"/>
  <c r="H169" i="3"/>
  <c r="H264" i="3"/>
  <c r="F55" i="3"/>
  <c r="I55" i="3"/>
  <c r="H55" i="3" s="1"/>
  <c r="H57" i="3"/>
  <c r="I11" i="3"/>
  <c r="H12" i="3"/>
  <c r="H17" i="3"/>
  <c r="H363" i="3" s="1"/>
  <c r="K11" i="3"/>
  <c r="D300" i="3"/>
  <c r="E298" i="3"/>
  <c r="D298" i="3" s="1"/>
  <c r="I362" i="3"/>
  <c r="I238" i="3"/>
  <c r="H238" i="3" s="1"/>
  <c r="H240" i="3"/>
  <c r="D57" i="3"/>
  <c r="E55" i="3"/>
  <c r="D55" i="3" s="1"/>
  <c r="F366" i="3"/>
  <c r="F11" i="3"/>
  <c r="H282" i="3"/>
  <c r="H270" i="3"/>
  <c r="H234" i="3"/>
  <c r="I43" i="3"/>
  <c r="H43" i="3" s="1"/>
  <c r="E366" i="3"/>
  <c r="H138" i="3"/>
  <c r="H294" i="3"/>
  <c r="D207" i="3"/>
  <c r="H326" i="3"/>
  <c r="D35" i="3"/>
  <c r="I193" i="3"/>
  <c r="E309" i="3"/>
  <c r="H193" i="3" l="1"/>
  <c r="H155" i="3"/>
  <c r="H365" i="3"/>
  <c r="I365" i="3"/>
  <c r="D262" i="3"/>
  <c r="D226" i="3"/>
  <c r="D286" i="3"/>
  <c r="G365" i="3"/>
  <c r="D167" i="3"/>
  <c r="D65" i="3"/>
  <c r="D274" i="3"/>
  <c r="H286" i="3"/>
  <c r="D238" i="3"/>
  <c r="D11" i="3"/>
  <c r="H142" i="3"/>
  <c r="D366" i="3"/>
  <c r="H366" i="3"/>
  <c r="D155" i="3"/>
  <c r="H226" i="3"/>
  <c r="G346" i="3"/>
  <c r="H350" i="3"/>
  <c r="F346" i="3"/>
  <c r="J346" i="3"/>
  <c r="J349" i="3" s="1"/>
  <c r="D365" i="3"/>
  <c r="K307" i="3"/>
  <c r="K346" i="3" s="1"/>
  <c r="H309" i="3"/>
  <c r="H362" i="3" s="1"/>
  <c r="H11" i="3"/>
  <c r="I346" i="3"/>
  <c r="I349" i="3" s="1"/>
  <c r="D309" i="3"/>
  <c r="E307" i="3"/>
  <c r="E362" i="3"/>
  <c r="D362" i="3" l="1"/>
  <c r="H307" i="3"/>
  <c r="E346" i="3"/>
  <c r="D346" i="3" s="1"/>
  <c r="D307" i="3"/>
  <c r="K349" i="3" l="1"/>
  <c r="H349" i="3" s="1"/>
  <c r="H346" i="3"/>
</calcChain>
</file>

<file path=xl/sharedStrings.xml><?xml version="1.0" encoding="utf-8"?>
<sst xmlns="http://schemas.openxmlformats.org/spreadsheetml/2006/main" count="420" uniqueCount="101">
  <si>
    <t>Išlaidoms</t>
  </si>
  <si>
    <t>Turtui įsigyti</t>
  </si>
  <si>
    <t>Programos kodas</t>
  </si>
  <si>
    <t>B</t>
  </si>
  <si>
    <t>L</t>
  </si>
  <si>
    <t>S</t>
  </si>
  <si>
    <t>R</t>
  </si>
  <si>
    <t>P</t>
  </si>
  <si>
    <t>D</t>
  </si>
  <si>
    <t>I</t>
  </si>
  <si>
    <t>K</t>
  </si>
  <si>
    <t>U</t>
  </si>
  <si>
    <t>Kupiškio rajono savivaldybės administracija</t>
  </si>
  <si>
    <t>Kupiškio socialinių paslaugų centras</t>
  </si>
  <si>
    <t>Kupiškio Lauryno Stuokos-Gucevičiaus gimnazija</t>
  </si>
  <si>
    <t>Kupiškio Povilo Matulionio progimnazija</t>
  </si>
  <si>
    <t>Kupiškio r. Skapiškio pagrindinė mokykla</t>
  </si>
  <si>
    <t>Kupiškio r. Alizavos pagrindinė mokykla</t>
  </si>
  <si>
    <t>Kupiškio jaunimo centras</t>
  </si>
  <si>
    <t>Kupiškio r. Noriūnų Jono Černiaus pagrindinė mokykla</t>
  </si>
  <si>
    <t>Kupiškio Kupos pradinė mokykla</t>
  </si>
  <si>
    <t>Kupiškio meno mokykla</t>
  </si>
  <si>
    <t>Kupiškio etnografijos muziejus</t>
  </si>
  <si>
    <t>Kupiškio r. švietimo pagalbos tarnyba</t>
  </si>
  <si>
    <t>Kupiškio rajono savivaldybės kontrolės ir audito tarnyba</t>
  </si>
  <si>
    <t>Kupiškio rajono  šv. Kazimiero vaikų globos namai</t>
  </si>
  <si>
    <t>Kupiškio rajono savivaldybės administracijos direktoriaus rezervas</t>
  </si>
  <si>
    <t>Žinių visuomenės, kultūros ir sportinio aktyvumo skatinimo programa</t>
  </si>
  <si>
    <t>Ekonominio konkurencingumo ir investicijų plėtros programa</t>
  </si>
  <si>
    <t>Viešosios infrastruktūros plėtros programa</t>
  </si>
  <si>
    <t>Socialinės ir sveikatos apsaugos programa</t>
  </si>
  <si>
    <t>Savivaldybės valdymo ir pagrindinių funkcijų vykdymo programa</t>
  </si>
  <si>
    <t>Kupiškio rajono savivaldybės tarybos</t>
  </si>
  <si>
    <t>3 priedas</t>
  </si>
  <si>
    <t>Iš viso asignavimų</t>
  </si>
  <si>
    <t>iš viso</t>
  </si>
  <si>
    <t>iš jų:  darbo užmokesčiui</t>
  </si>
  <si>
    <t>Asignavimų valdytojas /                                Vykdoma programa</t>
  </si>
  <si>
    <t>Biudžetinių įstaigų pajamų įmokų lėšos</t>
  </si>
  <si>
    <t>Paskolų lėšos</t>
  </si>
  <si>
    <t>Specialiųjų programų lėšos</t>
  </si>
  <si>
    <t>Valstybės investicijų programoje numatytiems projektams finansuoti</t>
  </si>
  <si>
    <t>Valstybinėms ( valstybės perduotoms savivaldybėms ) funkcijoms atlikti</t>
  </si>
  <si>
    <t>Kupiškio rajono savivaldybės administracijos                               Socialinės paramos skyrius</t>
  </si>
  <si>
    <t>Kupiškio rajono savivaldybės administracijos                                          Finansų ir biudžeto skyrius</t>
  </si>
  <si>
    <t>Kupiškio mokykla „Varpelis“</t>
  </si>
  <si>
    <t>Kupiškio vaikų lopšelis-darželis „Obelėlė“</t>
  </si>
  <si>
    <t>Kupiškio rajono savivaldybės priešgaisrinė tarnyba</t>
  </si>
  <si>
    <t>Kupiškio rajono savivaldybės kultūros centras</t>
  </si>
  <si>
    <t>Kupiškio rajono savivaldybės viešoji biblioteka</t>
  </si>
  <si>
    <t>Kupiškio vaikų lopšelis-darželis „Saulutė“</t>
  </si>
  <si>
    <t>Savivaldybės biudžeto lėšos (bendroms biudžeto reikmėms)</t>
  </si>
  <si>
    <t>2014 metų nepanaudotas biudžeto lėšų likutis</t>
  </si>
  <si>
    <t>Tikslinės paskirties lėšos</t>
  </si>
  <si>
    <t>Kupiškio r. kūno kultūros ir sporto centras</t>
  </si>
  <si>
    <t>01</t>
  </si>
  <si>
    <t>Bendros vastybės paslaugos</t>
  </si>
  <si>
    <t>Gynyba</t>
  </si>
  <si>
    <t>03</t>
  </si>
  <si>
    <t>Viešoji tvarka ir visuomenės apsauga</t>
  </si>
  <si>
    <t>04</t>
  </si>
  <si>
    <t>Ekonomika</t>
  </si>
  <si>
    <t>05</t>
  </si>
  <si>
    <t>Aplinkos apsauga</t>
  </si>
  <si>
    <t>06</t>
  </si>
  <si>
    <t>Būstas ir komunalinis ūkis</t>
  </si>
  <si>
    <t>07</t>
  </si>
  <si>
    <t>Sveikatos apsauga</t>
  </si>
  <si>
    <t>08</t>
  </si>
  <si>
    <t>Poilsis, kultūra ir religija</t>
  </si>
  <si>
    <t>09</t>
  </si>
  <si>
    <t>Švietimas</t>
  </si>
  <si>
    <t>10</t>
  </si>
  <si>
    <t>Socialinė apsauga</t>
  </si>
  <si>
    <t>____________________</t>
  </si>
  <si>
    <t>02</t>
  </si>
  <si>
    <t>iš jų: finansinių įsipareigojimų vykdymas (paskolų grąžinimas)</t>
  </si>
  <si>
    <t xml:space="preserve">IŠ VISO ASIGNAVIMŲ </t>
  </si>
  <si>
    <t>(eurais)</t>
  </si>
  <si>
    <t>iš jų: Kupiškio rajono savivaldybės administracijos direktoriaus rezervas</t>
  </si>
  <si>
    <t>iš jų: Kupiškio rajono savivaldybės taryba</t>
  </si>
  <si>
    <t>E</t>
  </si>
  <si>
    <t>Žinių visuomenės, kultūrinio ir sportinio aktyvumo skatinimo programa</t>
  </si>
  <si>
    <t>Kupiškio r. Subačiaus  gimnazija</t>
  </si>
  <si>
    <t>Kupiškio r. Antašavos mokykla-daugiafunkcis centras</t>
  </si>
  <si>
    <t>Kupiškio r. Rudilių Jono Laužiko universalus daugiafunkcis centras</t>
  </si>
  <si>
    <t>Kupiškio r. Adomynės mokykla-daugiafunckis centras</t>
  </si>
  <si>
    <t>Europos Sąjungos finansinės paramos lėšos</t>
  </si>
  <si>
    <t>iš jų: trumpalaikiams įsipareigojimas, buvusiems 2015 m. gruodžio 31 d., padengti iš 2015 metų biudžeto nepanaudotos pajamų dalies</t>
  </si>
  <si>
    <t>VB</t>
  </si>
  <si>
    <t>Valstybės biudžeto lėšos</t>
  </si>
  <si>
    <t>Kupiškio r. Šimonių pagrindinė mokykla</t>
  </si>
  <si>
    <t>Kupiškio r. Salamiesčio pagrindinė mokykla</t>
  </si>
  <si>
    <t>Finansa-vimo šaltinis</t>
  </si>
  <si>
    <t>Kupiškio r. Šepetos Almos Adamkienės pagrindinė mokykla</t>
  </si>
  <si>
    <t>Kupiškio r. Subačiaus vaikų lopšelis-darželis</t>
  </si>
  <si>
    <t xml:space="preserve">KUPIŠKIO RAJONO SAVIVALDYBĖS 2019 METŲ BIUDŽETO ASIGNAVIMAI  PAGAL ASIGNAVIMŲ VALDYTOJUS IR  LĖŠŲ ŠALTINIUS </t>
  </si>
  <si>
    <t>IŠ VISO IŠLAIDŲ</t>
  </si>
  <si>
    <t>Ugdymo reikmėms finansuoti</t>
  </si>
  <si>
    <t>2019 m. vasario 21 d. sprendimo Nr. TS-21</t>
  </si>
  <si>
    <t>(2019 m. rugsėjo      d. Nr. TS-    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</si>
</sst>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2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 applyProtection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vertical="center" wrapText="1"/>
    </xf>
    <xf numFmtId="3" fontId="2" fillId="3" borderId="1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3" borderId="1" xfId="0" applyNumberFormat="1" applyFont="1" applyFill="1" applyBorder="1" applyAlignment="1" applyProtection="1">
      <alignment horizontal="right" vertical="center" wrapText="1"/>
    </xf>
    <xf numFmtId="1" fontId="4" fillId="3" borderId="1" xfId="0" applyNumberFormat="1" applyFont="1" applyFill="1" applyBorder="1" applyAlignment="1">
      <alignment horizontal="right" vertical="center"/>
    </xf>
    <xf numFmtId="1" fontId="2" fillId="3" borderId="1" xfId="0" applyNumberFormat="1" applyFont="1" applyFill="1" applyBorder="1" applyAlignment="1" applyProtection="1">
      <alignment horizontal="right" vertical="center" wrapText="1"/>
    </xf>
    <xf numFmtId="1" fontId="2" fillId="3" borderId="1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 applyProtection="1">
      <alignment horizontal="right" vertical="center"/>
    </xf>
    <xf numFmtId="1" fontId="2" fillId="0" borderId="1" xfId="0" applyNumberFormat="1" applyFont="1" applyFill="1" applyBorder="1" applyAlignment="1" applyProtection="1">
      <alignment vertical="center" wrapText="1"/>
    </xf>
    <xf numFmtId="1" fontId="4" fillId="0" borderId="1" xfId="0" applyNumberFormat="1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vertical="center" wrapText="1"/>
    </xf>
    <xf numFmtId="1" fontId="2" fillId="5" borderId="1" xfId="0" applyNumberFormat="1" applyFont="1" applyFill="1" applyBorder="1" applyAlignment="1">
      <alignment horizontal="right" vertical="center" wrapText="1"/>
    </xf>
    <xf numFmtId="1" fontId="4" fillId="5" borderId="1" xfId="0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 applyProtection="1">
      <alignment horizontal="right" vertical="center" wrapText="1"/>
    </xf>
    <xf numFmtId="1" fontId="2" fillId="5" borderId="1" xfId="0" applyNumberFormat="1" applyFont="1" applyFill="1" applyBorder="1" applyAlignment="1" applyProtection="1">
      <alignment horizontal="right" vertical="center" wrapText="1"/>
    </xf>
    <xf numFmtId="1" fontId="2" fillId="5" borderId="1" xfId="0" applyNumberFormat="1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 applyProtection="1">
      <alignment horizontal="right" vertical="center" wrapText="1"/>
    </xf>
    <xf numFmtId="0" fontId="4" fillId="5" borderId="1" xfId="0" applyFont="1" applyFill="1" applyBorder="1" applyAlignment="1">
      <alignment horizontal="right" vertical="center"/>
    </xf>
    <xf numFmtId="1" fontId="4" fillId="3" borderId="2" xfId="0" applyNumberFormat="1" applyFont="1" applyFill="1" applyBorder="1" applyAlignment="1" applyProtection="1">
      <alignment horizontal="right" vertical="center" wrapText="1"/>
    </xf>
    <xf numFmtId="3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left" vertical="center" wrapText="1"/>
    </xf>
    <xf numFmtId="3" fontId="4" fillId="0" borderId="8" xfId="0" applyNumberFormat="1" applyFont="1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left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2" fillId="0" borderId="5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 applyProtection="1">
      <alignment horizontal="left" vertical="center" wrapText="1"/>
    </xf>
    <xf numFmtId="3" fontId="4" fillId="0" borderId="6" xfId="0" applyNumberFormat="1" applyFont="1" applyFill="1" applyBorder="1" applyAlignment="1" applyProtection="1">
      <alignment horizontal="left" vertical="center" wrapText="1"/>
    </xf>
    <xf numFmtId="3" fontId="3" fillId="0" borderId="2" xfId="0" applyNumberFormat="1" applyFont="1" applyFill="1" applyBorder="1" applyAlignment="1" applyProtection="1">
      <alignment horizontal="left" vertical="center" wrapText="1"/>
    </xf>
    <xf numFmtId="3" fontId="3" fillId="0" borderId="5" xfId="0" applyNumberFormat="1" applyFont="1" applyFill="1" applyBorder="1" applyAlignment="1" applyProtection="1">
      <alignment horizontal="left" vertical="center" wrapText="1"/>
    </xf>
    <xf numFmtId="3" fontId="4" fillId="0" borderId="5" xfId="0" applyNumberFormat="1" applyFont="1" applyFill="1" applyBorder="1" applyAlignment="1" applyProtection="1">
      <alignment horizontal="left" vertical="center" wrapText="1"/>
    </xf>
    <xf numFmtId="3" fontId="2" fillId="0" borderId="5" xfId="0" applyNumberFormat="1" applyFont="1" applyFill="1" applyBorder="1" applyAlignment="1" applyProtection="1">
      <alignment horizontal="left" vertical="center" wrapText="1"/>
    </xf>
    <xf numFmtId="3" fontId="8" fillId="0" borderId="2" xfId="0" applyNumberFormat="1" applyFont="1" applyFill="1" applyBorder="1" applyAlignment="1" applyProtection="1">
      <alignment horizontal="left" vertical="center" wrapText="1"/>
    </xf>
    <xf numFmtId="3" fontId="8" fillId="0" borderId="5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/>
    </xf>
  </cellXfs>
  <cellStyles count="1">
    <cellStyle name="Įprastas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8"/>
  <sheetViews>
    <sheetView tabSelected="1" topLeftCell="A345" zoomScaleNormal="100" workbookViewId="0">
      <selection activeCell="P204" sqref="P204"/>
    </sheetView>
  </sheetViews>
  <sheetFormatPr defaultColWidth="8.85546875" defaultRowHeight="15" x14ac:dyDescent="0.2"/>
  <cols>
    <col min="1" max="1" width="10.7109375" style="8" customWidth="1"/>
    <col min="2" max="2" width="36.140625" style="3" customWidth="1"/>
    <col min="3" max="3" width="6.85546875" style="8" customWidth="1"/>
    <col min="4" max="5" width="13.140625" style="8" hidden="1" customWidth="1"/>
    <col min="6" max="6" width="13.5703125" style="8" hidden="1" customWidth="1"/>
    <col min="7" max="7" width="10.85546875" style="8" hidden="1" customWidth="1"/>
    <col min="8" max="8" width="11.28515625" style="7" customWidth="1"/>
    <col min="9" max="10" width="11.140625" style="9" customWidth="1"/>
    <col min="11" max="11" width="9.140625" style="9" customWidth="1"/>
    <col min="12" max="12" width="8.85546875" style="3" hidden="1" customWidth="1"/>
    <col min="13" max="16384" width="8.85546875" style="3"/>
  </cols>
  <sheetData>
    <row r="1" spans="1:18" x14ac:dyDescent="0.2">
      <c r="C1" s="1" t="s">
        <v>32</v>
      </c>
      <c r="H1" s="1"/>
      <c r="I1" s="3"/>
      <c r="J1" s="3"/>
    </row>
    <row r="2" spans="1:18" x14ac:dyDescent="0.2">
      <c r="C2" s="1" t="s">
        <v>99</v>
      </c>
      <c r="H2" s="1"/>
      <c r="I2" s="3"/>
      <c r="J2" s="3"/>
    </row>
    <row r="3" spans="1:18" ht="13.9" customHeight="1" x14ac:dyDescent="0.2">
      <c r="C3" s="1" t="s">
        <v>33</v>
      </c>
      <c r="H3" s="1"/>
      <c r="I3" s="3"/>
      <c r="J3" s="3"/>
    </row>
    <row r="4" spans="1:18" ht="13.9" customHeight="1" x14ac:dyDescent="0.2">
      <c r="C4" s="1" t="s">
        <v>100</v>
      </c>
      <c r="H4" s="1"/>
      <c r="I4" s="3"/>
      <c r="J4" s="3"/>
    </row>
    <row r="5" spans="1:18" ht="13.9" customHeight="1" x14ac:dyDescent="0.2">
      <c r="C5" s="1"/>
      <c r="H5" s="3"/>
    </row>
    <row r="6" spans="1:18" ht="39" customHeight="1" x14ac:dyDescent="0.2">
      <c r="A6" s="90" t="s">
        <v>96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2"/>
      <c r="N6" s="2"/>
      <c r="O6" s="2"/>
      <c r="P6" s="2"/>
      <c r="Q6" s="2"/>
      <c r="R6" s="2"/>
    </row>
    <row r="7" spans="1:18" ht="16.149999999999999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1" t="s">
        <v>78</v>
      </c>
      <c r="L7" s="2"/>
      <c r="M7" s="2"/>
      <c r="N7" s="2"/>
      <c r="O7" s="2"/>
      <c r="P7" s="2"/>
      <c r="Q7" s="2"/>
      <c r="R7" s="2"/>
    </row>
    <row r="8" spans="1:18" ht="14.25" customHeight="1" x14ac:dyDescent="0.2">
      <c r="A8" s="87" t="s">
        <v>2</v>
      </c>
      <c r="B8" s="87" t="s">
        <v>37</v>
      </c>
      <c r="C8" s="91" t="s">
        <v>93</v>
      </c>
      <c r="D8" s="92" t="s">
        <v>34</v>
      </c>
      <c r="E8" s="92" t="s">
        <v>0</v>
      </c>
      <c r="F8" s="92"/>
      <c r="G8" s="92" t="s">
        <v>1</v>
      </c>
      <c r="H8" s="92" t="s">
        <v>34</v>
      </c>
      <c r="I8" s="92" t="s">
        <v>0</v>
      </c>
      <c r="J8" s="92"/>
      <c r="K8" s="92" t="s">
        <v>1</v>
      </c>
    </row>
    <row r="9" spans="1:18" ht="30" customHeight="1" x14ac:dyDescent="0.2">
      <c r="A9" s="87"/>
      <c r="B9" s="87"/>
      <c r="C9" s="91"/>
      <c r="D9" s="92"/>
      <c r="E9" s="66" t="s">
        <v>35</v>
      </c>
      <c r="F9" s="66" t="s">
        <v>36</v>
      </c>
      <c r="G9" s="92"/>
      <c r="H9" s="92"/>
      <c r="I9" s="66" t="s">
        <v>35</v>
      </c>
      <c r="J9" s="66" t="s">
        <v>36</v>
      </c>
      <c r="K9" s="92"/>
    </row>
    <row r="10" spans="1:18" ht="16.899999999999999" customHeight="1" x14ac:dyDescent="0.2">
      <c r="A10" s="65">
        <v>1</v>
      </c>
      <c r="B10" s="65">
        <v>2</v>
      </c>
      <c r="C10" s="20">
        <v>3</v>
      </c>
      <c r="D10" s="66">
        <v>4</v>
      </c>
      <c r="E10" s="66">
        <v>5</v>
      </c>
      <c r="F10" s="66">
        <v>6</v>
      </c>
      <c r="G10" s="66">
        <v>7</v>
      </c>
      <c r="H10" s="66">
        <v>4</v>
      </c>
      <c r="I10" s="66">
        <v>5</v>
      </c>
      <c r="J10" s="66">
        <v>6</v>
      </c>
      <c r="K10" s="66">
        <v>7</v>
      </c>
    </row>
    <row r="11" spans="1:18" ht="30" customHeight="1" x14ac:dyDescent="0.2">
      <c r="A11" s="75" t="s">
        <v>12</v>
      </c>
      <c r="B11" s="75"/>
      <c r="C11" s="76"/>
      <c r="D11" s="10">
        <f>E11+G11</f>
        <v>4576568</v>
      </c>
      <c r="E11" s="10">
        <f>E12+E17+E25+E30+E35</f>
        <v>3698477</v>
      </c>
      <c r="F11" s="10">
        <f>F12+F17+F25+F30+F35</f>
        <v>1073230</v>
      </c>
      <c r="G11" s="10">
        <f>G12+G17+G25+G30+G35</f>
        <v>878091</v>
      </c>
      <c r="H11" s="48">
        <f t="shared" ref="H11:H18" si="0">I11+K11</f>
        <v>9663501</v>
      </c>
      <c r="I11" s="39">
        <f>I12+I17+I25+I30+I35</f>
        <v>5718592</v>
      </c>
      <c r="J11" s="39">
        <f>J12+J17+J25+J30+J35</f>
        <v>1901199</v>
      </c>
      <c r="K11" s="39">
        <f>K12+K17+K25+K30+K35</f>
        <v>3944909</v>
      </c>
    </row>
    <row r="12" spans="1:18" ht="19.899999999999999" customHeight="1" x14ac:dyDescent="0.2">
      <c r="A12" s="77">
        <v>1</v>
      </c>
      <c r="B12" s="74" t="s">
        <v>82</v>
      </c>
      <c r="C12" s="21"/>
      <c r="D12" s="11">
        <f>E12+G12</f>
        <v>33466</v>
      </c>
      <c r="E12" s="12">
        <f>SUM(E13:E16)</f>
        <v>33466</v>
      </c>
      <c r="F12" s="12">
        <f>SUM(F13:F16)</f>
        <v>7080</v>
      </c>
      <c r="G12" s="12">
        <f>SUM(G13:G16)</f>
        <v>0</v>
      </c>
      <c r="H12" s="38">
        <f t="shared" si="0"/>
        <v>211529</v>
      </c>
      <c r="I12" s="40">
        <f>SUM(I13:I16)</f>
        <v>211529</v>
      </c>
      <c r="J12" s="40">
        <f>SUM(J13:J16)</f>
        <v>16390</v>
      </c>
      <c r="K12" s="40">
        <f>SUM(K13:K16)</f>
        <v>0</v>
      </c>
    </row>
    <row r="13" spans="1:18" ht="19.899999999999999" customHeight="1" x14ac:dyDescent="0.2">
      <c r="A13" s="77"/>
      <c r="B13" s="74"/>
      <c r="C13" s="21" t="s">
        <v>3</v>
      </c>
      <c r="D13" s="13">
        <f>E13+G13</f>
        <v>33466</v>
      </c>
      <c r="E13" s="14">
        <v>33466</v>
      </c>
      <c r="F13" s="14">
        <v>7080</v>
      </c>
      <c r="G13" s="14"/>
      <c r="H13" s="36">
        <f t="shared" si="0"/>
        <v>113820</v>
      </c>
      <c r="I13" s="37">
        <v>113820</v>
      </c>
      <c r="J13" s="37">
        <v>13680</v>
      </c>
      <c r="K13" s="37">
        <v>0</v>
      </c>
      <c r="L13" s="4">
        <f>H13+H18+H26+H31+H36</f>
        <v>4447074</v>
      </c>
    </row>
    <row r="14" spans="1:18" ht="19.899999999999999" customHeight="1" x14ac:dyDescent="0.2">
      <c r="A14" s="77"/>
      <c r="B14" s="74"/>
      <c r="C14" s="21" t="s">
        <v>81</v>
      </c>
      <c r="D14" s="13"/>
      <c r="E14" s="14"/>
      <c r="F14" s="14"/>
      <c r="G14" s="14"/>
      <c r="H14" s="36">
        <f t="shared" si="0"/>
        <v>48634</v>
      </c>
      <c r="I14" s="37">
        <v>48634</v>
      </c>
      <c r="J14" s="37">
        <v>2710</v>
      </c>
      <c r="K14" s="37">
        <v>0</v>
      </c>
      <c r="L14" s="4"/>
    </row>
    <row r="15" spans="1:18" ht="19.899999999999999" hidden="1" customHeight="1" x14ac:dyDescent="0.2">
      <c r="A15" s="77"/>
      <c r="B15" s="74"/>
      <c r="C15" s="21" t="s">
        <v>11</v>
      </c>
      <c r="D15" s="13"/>
      <c r="E15" s="14"/>
      <c r="F15" s="14"/>
      <c r="G15" s="14"/>
      <c r="H15" s="36">
        <f t="shared" ref="H15" si="1">I15+K15</f>
        <v>0</v>
      </c>
      <c r="I15" s="37">
        <v>0</v>
      </c>
      <c r="J15" s="37">
        <v>0</v>
      </c>
      <c r="K15" s="37">
        <v>0</v>
      </c>
      <c r="L15" s="4"/>
    </row>
    <row r="16" spans="1:18" ht="19.899999999999999" customHeight="1" x14ac:dyDescent="0.2">
      <c r="A16" s="77"/>
      <c r="B16" s="74"/>
      <c r="C16" s="21" t="s">
        <v>10</v>
      </c>
      <c r="D16" s="13">
        <v>0</v>
      </c>
      <c r="E16" s="14">
        <v>0</v>
      </c>
      <c r="F16" s="14"/>
      <c r="G16" s="14"/>
      <c r="H16" s="36">
        <f t="shared" si="0"/>
        <v>49075</v>
      </c>
      <c r="I16" s="37">
        <v>49075</v>
      </c>
      <c r="J16" s="37">
        <v>0</v>
      </c>
      <c r="K16" s="37">
        <v>0</v>
      </c>
      <c r="L16" s="4" t="e">
        <f>H16+#REF!+#REF!+#REF!+#REF!</f>
        <v>#REF!</v>
      </c>
    </row>
    <row r="17" spans="1:13" ht="18" customHeight="1" x14ac:dyDescent="0.2">
      <c r="A17" s="77">
        <v>2</v>
      </c>
      <c r="B17" s="74" t="s">
        <v>28</v>
      </c>
      <c r="C17" s="21"/>
      <c r="D17" s="11">
        <f>E17+G17</f>
        <v>1174592</v>
      </c>
      <c r="E17" s="12">
        <f>SUM(E18:E24)</f>
        <v>310132</v>
      </c>
      <c r="F17" s="12">
        <f>SUM(F18:F24)</f>
        <v>20273</v>
      </c>
      <c r="G17" s="12">
        <f>SUM(G18:G24)</f>
        <v>864460</v>
      </c>
      <c r="H17" s="38">
        <f t="shared" si="0"/>
        <v>3463572</v>
      </c>
      <c r="I17" s="40">
        <f>SUM(I18:I24)</f>
        <v>383793</v>
      </c>
      <c r="J17" s="40">
        <f>SUM(J18:J24)</f>
        <v>8750</v>
      </c>
      <c r="K17" s="40">
        <f>SUM(K18:K24)</f>
        <v>3079779</v>
      </c>
    </row>
    <row r="18" spans="1:13" ht="18" customHeight="1" x14ac:dyDescent="0.2">
      <c r="A18" s="77"/>
      <c r="B18" s="74"/>
      <c r="C18" s="21" t="s">
        <v>3</v>
      </c>
      <c r="D18" s="13">
        <f>E18+G18</f>
        <v>43102</v>
      </c>
      <c r="E18" s="14">
        <v>43102</v>
      </c>
      <c r="F18" s="14">
        <v>20273</v>
      </c>
      <c r="G18" s="14"/>
      <c r="H18" s="36">
        <f t="shared" si="0"/>
        <v>835898</v>
      </c>
      <c r="I18" s="37">
        <v>99122</v>
      </c>
      <c r="J18" s="37"/>
      <c r="K18" s="37">
        <v>736776</v>
      </c>
    </row>
    <row r="19" spans="1:13" ht="18" customHeight="1" x14ac:dyDescent="0.2">
      <c r="A19" s="77"/>
      <c r="B19" s="74"/>
      <c r="C19" s="21" t="s">
        <v>8</v>
      </c>
      <c r="D19" s="13">
        <f t="shared" ref="D19:D27" si="2">E19+G19</f>
        <v>267030</v>
      </c>
      <c r="E19" s="14">
        <v>267030</v>
      </c>
      <c r="F19" s="14">
        <v>0</v>
      </c>
      <c r="G19" s="14">
        <v>0</v>
      </c>
      <c r="H19" s="36">
        <f t="shared" ref="H19:H28" si="3">I19+K19</f>
        <v>201000</v>
      </c>
      <c r="I19" s="37">
        <v>201000</v>
      </c>
      <c r="J19" s="37">
        <v>0</v>
      </c>
      <c r="K19" s="37">
        <v>0</v>
      </c>
    </row>
    <row r="20" spans="1:13" ht="18" customHeight="1" x14ac:dyDescent="0.2">
      <c r="A20" s="77"/>
      <c r="B20" s="74"/>
      <c r="C20" s="21" t="s">
        <v>9</v>
      </c>
      <c r="D20" s="13">
        <f t="shared" si="2"/>
        <v>217215</v>
      </c>
      <c r="E20" s="14"/>
      <c r="F20" s="14"/>
      <c r="G20" s="14">
        <v>217215</v>
      </c>
      <c r="H20" s="36">
        <f t="shared" si="3"/>
        <v>825390</v>
      </c>
      <c r="I20" s="37">
        <v>0</v>
      </c>
      <c r="J20" s="37">
        <v>0</v>
      </c>
      <c r="K20" s="37">
        <v>825390</v>
      </c>
    </row>
    <row r="21" spans="1:13" ht="18" customHeight="1" x14ac:dyDescent="0.2">
      <c r="A21" s="77"/>
      <c r="B21" s="74"/>
      <c r="C21" s="21" t="s">
        <v>81</v>
      </c>
      <c r="D21" s="13"/>
      <c r="E21" s="14"/>
      <c r="F21" s="14"/>
      <c r="G21" s="14"/>
      <c r="H21" s="36">
        <f t="shared" ref="H21:H22" si="4">I21+K21</f>
        <v>1357931</v>
      </c>
      <c r="I21" s="37">
        <v>79651</v>
      </c>
      <c r="J21" s="37">
        <v>8750</v>
      </c>
      <c r="K21" s="37">
        <v>1278280</v>
      </c>
    </row>
    <row r="22" spans="1:13" ht="18" customHeight="1" x14ac:dyDescent="0.2">
      <c r="A22" s="77"/>
      <c r="B22" s="74"/>
      <c r="C22" s="21" t="s">
        <v>89</v>
      </c>
      <c r="D22" s="13"/>
      <c r="E22" s="14"/>
      <c r="F22" s="14"/>
      <c r="G22" s="14"/>
      <c r="H22" s="36">
        <f t="shared" si="4"/>
        <v>88525</v>
      </c>
      <c r="I22" s="37">
        <v>4020</v>
      </c>
      <c r="J22" s="37">
        <v>0</v>
      </c>
      <c r="K22" s="37">
        <v>84505</v>
      </c>
    </row>
    <row r="23" spans="1:13" ht="18" customHeight="1" x14ac:dyDescent="0.2">
      <c r="A23" s="77"/>
      <c r="B23" s="74"/>
      <c r="C23" s="21" t="s">
        <v>11</v>
      </c>
      <c r="D23" s="13"/>
      <c r="E23" s="14"/>
      <c r="F23" s="14"/>
      <c r="G23" s="14"/>
      <c r="H23" s="36">
        <f t="shared" ref="H23" si="5">I23+K23</f>
        <v>150531</v>
      </c>
      <c r="I23" s="37">
        <f>18208-18208</f>
        <v>0</v>
      </c>
      <c r="J23" s="37">
        <v>0</v>
      </c>
      <c r="K23" s="37">
        <v>150531</v>
      </c>
    </row>
    <row r="24" spans="1:13" ht="18" customHeight="1" x14ac:dyDescent="0.2">
      <c r="A24" s="77"/>
      <c r="B24" s="74"/>
      <c r="C24" s="21" t="s">
        <v>7</v>
      </c>
      <c r="D24" s="13">
        <f t="shared" si="2"/>
        <v>647245</v>
      </c>
      <c r="E24" s="14"/>
      <c r="F24" s="14"/>
      <c r="G24" s="14">
        <v>647245</v>
      </c>
      <c r="H24" s="36">
        <f t="shared" si="3"/>
        <v>4297</v>
      </c>
      <c r="I24" s="37">
        <v>0</v>
      </c>
      <c r="J24" s="37">
        <v>0</v>
      </c>
      <c r="K24" s="37">
        <v>4297</v>
      </c>
    </row>
    <row r="25" spans="1:13" ht="19.899999999999999" customHeight="1" x14ac:dyDescent="0.2">
      <c r="A25" s="77">
        <v>3</v>
      </c>
      <c r="B25" s="74" t="s">
        <v>29</v>
      </c>
      <c r="C25" s="21"/>
      <c r="D25" s="11">
        <f t="shared" si="2"/>
        <v>1115861</v>
      </c>
      <c r="E25" s="12">
        <f>SUM(E26:E29)</f>
        <v>1112994</v>
      </c>
      <c r="F25" s="12">
        <f>SUM(F26:F29)</f>
        <v>41155</v>
      </c>
      <c r="G25" s="12">
        <f>SUM(G26:G29)</f>
        <v>2867</v>
      </c>
      <c r="H25" s="38">
        <f t="shared" si="3"/>
        <v>2909529</v>
      </c>
      <c r="I25" s="40">
        <f>SUM(I26:I29)</f>
        <v>2049899</v>
      </c>
      <c r="J25" s="40">
        <f>SUM(J26:J29)</f>
        <v>115300</v>
      </c>
      <c r="K25" s="40">
        <f>SUM(K26:K29)</f>
        <v>859630</v>
      </c>
    </row>
    <row r="26" spans="1:13" ht="19.899999999999999" customHeight="1" x14ac:dyDescent="0.2">
      <c r="A26" s="77"/>
      <c r="B26" s="74"/>
      <c r="C26" s="21" t="s">
        <v>3</v>
      </c>
      <c r="D26" s="13">
        <f t="shared" si="2"/>
        <v>750091</v>
      </c>
      <c r="E26" s="14">
        <v>747224</v>
      </c>
      <c r="F26" s="14">
        <v>39351</v>
      </c>
      <c r="G26" s="14">
        <v>2867</v>
      </c>
      <c r="H26" s="36">
        <f t="shared" si="3"/>
        <v>1150326</v>
      </c>
      <c r="I26" s="37">
        <v>1076800</v>
      </c>
      <c r="J26" s="37">
        <v>113470</v>
      </c>
      <c r="K26" s="37">
        <v>73526</v>
      </c>
    </row>
    <row r="27" spans="1:13" ht="19.899999999999999" customHeight="1" x14ac:dyDescent="0.2">
      <c r="A27" s="77"/>
      <c r="B27" s="74"/>
      <c r="C27" s="21" t="s">
        <v>6</v>
      </c>
      <c r="D27" s="13">
        <f t="shared" si="2"/>
        <v>355298</v>
      </c>
      <c r="E27" s="14">
        <v>355298</v>
      </c>
      <c r="F27" s="14"/>
      <c r="G27" s="14"/>
      <c r="H27" s="36">
        <f t="shared" si="3"/>
        <v>544223</v>
      </c>
      <c r="I27" s="37">
        <f>430000+35227+78996</f>
        <v>544223</v>
      </c>
      <c r="J27" s="37">
        <v>0</v>
      </c>
      <c r="K27" s="37">
        <v>0</v>
      </c>
    </row>
    <row r="28" spans="1:13" ht="19.899999999999999" customHeight="1" x14ac:dyDescent="0.2">
      <c r="A28" s="77"/>
      <c r="B28" s="74"/>
      <c r="C28" s="21" t="s">
        <v>11</v>
      </c>
      <c r="D28" s="13"/>
      <c r="E28" s="14"/>
      <c r="F28" s="14"/>
      <c r="G28" s="14"/>
      <c r="H28" s="36">
        <f t="shared" si="3"/>
        <v>1200204</v>
      </c>
      <c r="I28" s="37">
        <v>414100</v>
      </c>
      <c r="J28" s="37">
        <v>0</v>
      </c>
      <c r="K28" s="37">
        <v>786104</v>
      </c>
    </row>
    <row r="29" spans="1:13" ht="19.899999999999999" customHeight="1" x14ac:dyDescent="0.2">
      <c r="A29" s="77"/>
      <c r="B29" s="74"/>
      <c r="C29" s="21" t="s">
        <v>5</v>
      </c>
      <c r="D29" s="13">
        <f t="shared" ref="D29:D47" si="6">E29+G29</f>
        <v>10472</v>
      </c>
      <c r="E29" s="14">
        <v>10472</v>
      </c>
      <c r="F29" s="14">
        <v>1804</v>
      </c>
      <c r="G29" s="14"/>
      <c r="H29" s="36">
        <f t="shared" ref="H29:H47" si="7">I29+K29</f>
        <v>14776</v>
      </c>
      <c r="I29" s="37">
        <v>14776</v>
      </c>
      <c r="J29" s="37">
        <v>1830</v>
      </c>
      <c r="K29" s="37">
        <v>0</v>
      </c>
    </row>
    <row r="30" spans="1:13" ht="18" customHeight="1" x14ac:dyDescent="0.2">
      <c r="A30" s="77">
        <v>4</v>
      </c>
      <c r="B30" s="74" t="s">
        <v>30</v>
      </c>
      <c r="C30" s="21"/>
      <c r="D30" s="11">
        <f t="shared" si="6"/>
        <v>657397</v>
      </c>
      <c r="E30" s="12">
        <f>SUM(E31:E34)</f>
        <v>653169</v>
      </c>
      <c r="F30" s="12">
        <f>SUM(F31:F34)</f>
        <v>166095</v>
      </c>
      <c r="G30" s="12">
        <f>SUM(G31:G34)</f>
        <v>4228</v>
      </c>
      <c r="H30" s="38">
        <f t="shared" si="7"/>
        <v>873447</v>
      </c>
      <c r="I30" s="40">
        <f>SUM(I31:I34)</f>
        <v>873447</v>
      </c>
      <c r="J30" s="40">
        <f>SUM(J31:J34)</f>
        <v>189130</v>
      </c>
      <c r="K30" s="40">
        <f>SUM(K31:K34)</f>
        <v>0</v>
      </c>
    </row>
    <row r="31" spans="1:13" ht="18" customHeight="1" x14ac:dyDescent="0.2">
      <c r="A31" s="77"/>
      <c r="B31" s="74"/>
      <c r="C31" s="21" t="s">
        <v>3</v>
      </c>
      <c r="D31" s="13">
        <f t="shared" si="6"/>
        <v>528324</v>
      </c>
      <c r="E31" s="14">
        <v>524096</v>
      </c>
      <c r="F31" s="14">
        <v>87205</v>
      </c>
      <c r="G31" s="14">
        <v>4228</v>
      </c>
      <c r="H31" s="36">
        <f t="shared" si="7"/>
        <v>498930</v>
      </c>
      <c r="I31" s="37">
        <v>498930</v>
      </c>
      <c r="J31" s="37">
        <v>161400</v>
      </c>
      <c r="K31" s="37">
        <v>0</v>
      </c>
      <c r="M31" s="67"/>
    </row>
    <row r="32" spans="1:13" ht="18" customHeight="1" x14ac:dyDescent="0.2">
      <c r="A32" s="77"/>
      <c r="B32" s="74"/>
      <c r="C32" s="21" t="s">
        <v>8</v>
      </c>
      <c r="D32" s="13">
        <f t="shared" si="6"/>
        <v>119869</v>
      </c>
      <c r="E32" s="14">
        <v>119869</v>
      </c>
      <c r="F32" s="14">
        <v>78890</v>
      </c>
      <c r="G32" s="14"/>
      <c r="H32" s="36">
        <f t="shared" si="7"/>
        <v>326550</v>
      </c>
      <c r="I32" s="37">
        <v>326550</v>
      </c>
      <c r="J32" s="37">
        <v>27730</v>
      </c>
      <c r="K32" s="37">
        <v>0</v>
      </c>
    </row>
    <row r="33" spans="1:11" ht="18" customHeight="1" x14ac:dyDescent="0.2">
      <c r="A33" s="77"/>
      <c r="B33" s="74"/>
      <c r="C33" s="21" t="s">
        <v>5</v>
      </c>
      <c r="D33" s="13">
        <f t="shared" si="6"/>
        <v>0</v>
      </c>
      <c r="E33" s="14"/>
      <c r="F33" s="14"/>
      <c r="G33" s="14"/>
      <c r="H33" s="36">
        <f t="shared" si="7"/>
        <v>30559</v>
      </c>
      <c r="I33" s="37">
        <v>30559</v>
      </c>
      <c r="J33" s="37">
        <v>0</v>
      </c>
      <c r="K33" s="37">
        <v>0</v>
      </c>
    </row>
    <row r="34" spans="1:11" ht="18" customHeight="1" x14ac:dyDescent="0.2">
      <c r="A34" s="77"/>
      <c r="B34" s="74"/>
      <c r="C34" s="21" t="s">
        <v>6</v>
      </c>
      <c r="D34" s="13">
        <f t="shared" si="6"/>
        <v>9204</v>
      </c>
      <c r="E34" s="14">
        <v>9204</v>
      </c>
      <c r="F34" s="14"/>
      <c r="G34" s="14"/>
      <c r="H34" s="36">
        <f t="shared" si="7"/>
        <v>17408</v>
      </c>
      <c r="I34" s="37">
        <v>17408</v>
      </c>
      <c r="J34" s="37">
        <v>0</v>
      </c>
      <c r="K34" s="37">
        <v>0</v>
      </c>
    </row>
    <row r="35" spans="1:11" ht="19.899999999999999" customHeight="1" x14ac:dyDescent="0.2">
      <c r="A35" s="78">
        <v>5</v>
      </c>
      <c r="B35" s="74" t="s">
        <v>31</v>
      </c>
      <c r="C35" s="21"/>
      <c r="D35" s="11">
        <f t="shared" si="6"/>
        <v>1595252</v>
      </c>
      <c r="E35" s="12">
        <f>SUM(E36:E40)</f>
        <v>1588716</v>
      </c>
      <c r="F35" s="12">
        <f>SUM(F36:F40)</f>
        <v>838627</v>
      </c>
      <c r="G35" s="12">
        <f>SUM(G36:G40)</f>
        <v>6536</v>
      </c>
      <c r="H35" s="38">
        <f t="shared" si="7"/>
        <v>2205424</v>
      </c>
      <c r="I35" s="40">
        <f>SUM(I36:I40)</f>
        <v>2199924</v>
      </c>
      <c r="J35" s="40">
        <f>SUM(J36:J40)</f>
        <v>1571629</v>
      </c>
      <c r="K35" s="40">
        <f>SUM(K36:K40)</f>
        <v>5500</v>
      </c>
    </row>
    <row r="36" spans="1:11" ht="19.899999999999999" customHeight="1" x14ac:dyDescent="0.2">
      <c r="A36" s="79"/>
      <c r="B36" s="74"/>
      <c r="C36" s="21" t="s">
        <v>3</v>
      </c>
      <c r="D36" s="13">
        <f t="shared" si="6"/>
        <v>1256325</v>
      </c>
      <c r="E36" s="14">
        <f>1118421+131368</f>
        <v>1249789</v>
      </c>
      <c r="F36" s="14">
        <f>649999+43467</f>
        <v>693466</v>
      </c>
      <c r="G36" s="14">
        <v>6536</v>
      </c>
      <c r="H36" s="36">
        <f t="shared" si="7"/>
        <v>1848100</v>
      </c>
      <c r="I36" s="37">
        <v>1842600</v>
      </c>
      <c r="J36" s="37">
        <v>1349830</v>
      </c>
      <c r="K36" s="37">
        <v>5500</v>
      </c>
    </row>
    <row r="37" spans="1:11" ht="19.899999999999999" customHeight="1" x14ac:dyDescent="0.2">
      <c r="A37" s="79"/>
      <c r="B37" s="74"/>
      <c r="C37" s="21" t="s">
        <v>8</v>
      </c>
      <c r="D37" s="13">
        <f t="shared" si="6"/>
        <v>316088</v>
      </c>
      <c r="E37" s="14">
        <v>316088</v>
      </c>
      <c r="F37" s="14">
        <v>145161</v>
      </c>
      <c r="G37" s="14"/>
      <c r="H37" s="36">
        <f t="shared" si="7"/>
        <v>288992</v>
      </c>
      <c r="I37" s="37">
        <v>288992</v>
      </c>
      <c r="J37" s="37">
        <v>205069</v>
      </c>
      <c r="K37" s="37">
        <v>0</v>
      </c>
    </row>
    <row r="38" spans="1:11" ht="19.899999999999999" customHeight="1" x14ac:dyDescent="0.2">
      <c r="A38" s="79"/>
      <c r="B38" s="74"/>
      <c r="C38" s="21" t="s">
        <v>11</v>
      </c>
      <c r="D38" s="13"/>
      <c r="E38" s="14"/>
      <c r="F38" s="14"/>
      <c r="G38" s="14"/>
      <c r="H38" s="36">
        <f t="shared" ref="H38" si="8">I38+K38</f>
        <v>18668</v>
      </c>
      <c r="I38" s="37">
        <v>18668</v>
      </c>
      <c r="J38" s="37">
        <v>16730</v>
      </c>
      <c r="K38" s="37"/>
    </row>
    <row r="39" spans="1:11" ht="19.899999999999999" hidden="1" customHeight="1" x14ac:dyDescent="0.2">
      <c r="A39" s="79"/>
      <c r="B39" s="74"/>
      <c r="C39" s="21" t="s">
        <v>81</v>
      </c>
      <c r="D39" s="13"/>
      <c r="E39" s="14"/>
      <c r="F39" s="14"/>
      <c r="G39" s="14"/>
      <c r="H39" s="36">
        <f t="shared" ref="H39" si="9">I39+K39</f>
        <v>0</v>
      </c>
      <c r="I39" s="37"/>
      <c r="J39" s="37"/>
      <c r="K39" s="37"/>
    </row>
    <row r="40" spans="1:11" ht="19.899999999999999" customHeight="1" x14ac:dyDescent="0.2">
      <c r="A40" s="79"/>
      <c r="B40" s="74"/>
      <c r="C40" s="21" t="s">
        <v>5</v>
      </c>
      <c r="D40" s="13">
        <f t="shared" si="6"/>
        <v>22839</v>
      </c>
      <c r="E40" s="14">
        <v>22839</v>
      </c>
      <c r="F40" s="14"/>
      <c r="G40" s="14"/>
      <c r="H40" s="36">
        <f t="shared" si="7"/>
        <v>49664</v>
      </c>
      <c r="I40" s="37">
        <f>47724+1940</f>
        <v>49664</v>
      </c>
      <c r="J40" s="37">
        <v>0</v>
      </c>
      <c r="K40" s="37">
        <v>0</v>
      </c>
    </row>
    <row r="41" spans="1:11" ht="34.9" customHeight="1" x14ac:dyDescent="0.2">
      <c r="A41" s="79"/>
      <c r="B41" s="59" t="s">
        <v>79</v>
      </c>
      <c r="C41" s="21" t="s">
        <v>3</v>
      </c>
      <c r="D41" s="13"/>
      <c r="E41" s="14"/>
      <c r="F41" s="14"/>
      <c r="G41" s="14"/>
      <c r="H41" s="36">
        <f t="shared" si="7"/>
        <v>3000</v>
      </c>
      <c r="I41" s="37">
        <v>3000</v>
      </c>
      <c r="J41" s="37">
        <v>0</v>
      </c>
      <c r="K41" s="37">
        <v>0</v>
      </c>
    </row>
    <row r="42" spans="1:11" ht="19.5" customHeight="1" x14ac:dyDescent="0.2">
      <c r="A42" s="80"/>
      <c r="B42" s="6" t="s">
        <v>80</v>
      </c>
      <c r="C42" s="21" t="s">
        <v>3</v>
      </c>
      <c r="D42" s="13">
        <f t="shared" si="6"/>
        <v>131368</v>
      </c>
      <c r="E42" s="14">
        <v>131368</v>
      </c>
      <c r="F42" s="14">
        <v>43467</v>
      </c>
      <c r="G42" s="14"/>
      <c r="H42" s="36">
        <f t="shared" si="7"/>
        <v>152060</v>
      </c>
      <c r="I42" s="37">
        <v>152060</v>
      </c>
      <c r="J42" s="37">
        <v>70420</v>
      </c>
      <c r="K42" s="37"/>
    </row>
    <row r="43" spans="1:11" ht="30" customHeight="1" x14ac:dyDescent="0.2">
      <c r="A43" s="75" t="s">
        <v>43</v>
      </c>
      <c r="B43" s="75"/>
      <c r="C43" s="76"/>
      <c r="D43" s="10">
        <f t="shared" si="6"/>
        <v>1564638</v>
      </c>
      <c r="E43" s="10">
        <f>E44</f>
        <v>1564638</v>
      </c>
      <c r="F43" s="10">
        <f>F44</f>
        <v>0</v>
      </c>
      <c r="G43" s="10">
        <f>G44</f>
        <v>0</v>
      </c>
      <c r="H43" s="39">
        <f t="shared" si="7"/>
        <v>1488110</v>
      </c>
      <c r="I43" s="39">
        <f>I44</f>
        <v>1488110</v>
      </c>
      <c r="J43" s="39">
        <f>J44</f>
        <v>0</v>
      </c>
      <c r="K43" s="39">
        <f>K44</f>
        <v>0</v>
      </c>
    </row>
    <row r="44" spans="1:11" ht="18" hidden="1" customHeight="1" x14ac:dyDescent="0.2">
      <c r="A44" s="72"/>
      <c r="B44" s="72"/>
      <c r="C44" s="73"/>
      <c r="D44" s="11">
        <f t="shared" si="6"/>
        <v>1564638</v>
      </c>
      <c r="E44" s="12">
        <f>SUBTOTAL(9,E45:E47)</f>
        <v>1564638</v>
      </c>
      <c r="F44" s="12">
        <f>SUBTOTAL(9,F45:F47)</f>
        <v>0</v>
      </c>
      <c r="G44" s="12">
        <f>SUBTOTAL(9,G45:G47)</f>
        <v>0</v>
      </c>
      <c r="H44" s="26">
        <f t="shared" si="7"/>
        <v>1488110</v>
      </c>
      <c r="I44" s="18">
        <f>SUBTOTAL(9,I45:I47)</f>
        <v>1488110</v>
      </c>
      <c r="J44" s="18">
        <f>SUBTOTAL(9,J45:J47)</f>
        <v>0</v>
      </c>
      <c r="K44" s="18">
        <f>SUBTOTAL(9,K45:K47)</f>
        <v>0</v>
      </c>
    </row>
    <row r="45" spans="1:11" ht="18" customHeight="1" x14ac:dyDescent="0.2">
      <c r="A45" s="77">
        <v>4</v>
      </c>
      <c r="B45" s="77" t="s">
        <v>30</v>
      </c>
      <c r="C45" s="21" t="s">
        <v>3</v>
      </c>
      <c r="D45" s="13">
        <f t="shared" si="6"/>
        <v>1052822</v>
      </c>
      <c r="E45" s="14">
        <v>1052822</v>
      </c>
      <c r="F45" s="14"/>
      <c r="G45" s="14"/>
      <c r="H45" s="36">
        <f t="shared" si="7"/>
        <v>1138200</v>
      </c>
      <c r="I45" s="37">
        <f>12600+6100+54000+24000+10000+245000+760200+25000+300+1000</f>
        <v>1138200</v>
      </c>
      <c r="J45" s="37">
        <v>0</v>
      </c>
      <c r="K45" s="37">
        <v>0</v>
      </c>
    </row>
    <row r="46" spans="1:11" ht="18" hidden="1" customHeight="1" x14ac:dyDescent="0.2">
      <c r="A46" s="77"/>
      <c r="B46" s="77"/>
      <c r="C46" s="21" t="s">
        <v>11</v>
      </c>
      <c r="D46" s="13"/>
      <c r="E46" s="14"/>
      <c r="F46" s="14"/>
      <c r="G46" s="14"/>
      <c r="H46" s="36">
        <f t="shared" ref="H46" si="10">I46+K46</f>
        <v>0</v>
      </c>
      <c r="I46" s="37"/>
      <c r="J46" s="37">
        <v>0</v>
      </c>
      <c r="K46" s="37">
        <v>0</v>
      </c>
    </row>
    <row r="47" spans="1:11" ht="21" customHeight="1" x14ac:dyDescent="0.2">
      <c r="A47" s="77"/>
      <c r="B47" s="77"/>
      <c r="C47" s="21" t="s">
        <v>8</v>
      </c>
      <c r="D47" s="13">
        <f t="shared" si="6"/>
        <v>511816</v>
      </c>
      <c r="E47" s="14">
        <v>511816</v>
      </c>
      <c r="F47" s="14"/>
      <c r="G47" s="14"/>
      <c r="H47" s="36">
        <f t="shared" si="7"/>
        <v>349910</v>
      </c>
      <c r="I47" s="37">
        <v>349910</v>
      </c>
      <c r="J47" s="37">
        <v>0</v>
      </c>
      <c r="K47" s="37">
        <v>0</v>
      </c>
    </row>
    <row r="48" spans="1:11" ht="25.9" customHeight="1" x14ac:dyDescent="0.2">
      <c r="A48" s="75" t="s">
        <v>47</v>
      </c>
      <c r="B48" s="75"/>
      <c r="C48" s="76"/>
      <c r="D48" s="10">
        <f>E48+G48</f>
        <v>422237</v>
      </c>
      <c r="E48" s="10">
        <f>E49</f>
        <v>421559</v>
      </c>
      <c r="F48" s="10">
        <f>F49</f>
        <v>277626</v>
      </c>
      <c r="G48" s="10">
        <f>G49</f>
        <v>678</v>
      </c>
      <c r="H48" s="39">
        <f t="shared" ref="H48:H53" si="11">I48+K48</f>
        <v>535190</v>
      </c>
      <c r="I48" s="39">
        <f>I49</f>
        <v>535190</v>
      </c>
      <c r="J48" s="39">
        <f>J49</f>
        <v>492160</v>
      </c>
      <c r="K48" s="39">
        <f>K49</f>
        <v>0</v>
      </c>
    </row>
    <row r="49" spans="1:11" ht="15" hidden="1" customHeight="1" x14ac:dyDescent="0.2">
      <c r="A49" s="72"/>
      <c r="B49" s="72"/>
      <c r="C49" s="73"/>
      <c r="D49" s="11">
        <f>E49+G49</f>
        <v>422237</v>
      </c>
      <c r="E49" s="12">
        <f>SUBTOTAL(9,E50:E53)</f>
        <v>421559</v>
      </c>
      <c r="F49" s="12">
        <f>SUBTOTAL(9,F50:F53)</f>
        <v>277626</v>
      </c>
      <c r="G49" s="12">
        <f>SUBTOTAL(9,G50:G53)</f>
        <v>678</v>
      </c>
      <c r="H49" s="38">
        <f t="shared" si="11"/>
        <v>535190</v>
      </c>
      <c r="I49" s="41">
        <f>SUBTOTAL(9,I50:I53)</f>
        <v>535190</v>
      </c>
      <c r="J49" s="41">
        <f>SUBTOTAL(9,J50:J53)</f>
        <v>492160</v>
      </c>
      <c r="K49" s="41">
        <f>SUBTOTAL(9,K50:K53)</f>
        <v>0</v>
      </c>
    </row>
    <row r="50" spans="1:11" ht="18" customHeight="1" x14ac:dyDescent="0.2">
      <c r="A50" s="77">
        <v>5</v>
      </c>
      <c r="B50" s="81" t="s">
        <v>31</v>
      </c>
      <c r="C50" s="21" t="s">
        <v>3</v>
      </c>
      <c r="D50" s="13">
        <f>E50+G50</f>
        <v>17956</v>
      </c>
      <c r="E50" s="14">
        <v>17956</v>
      </c>
      <c r="F50" s="14">
        <v>13052</v>
      </c>
      <c r="G50" s="14"/>
      <c r="H50" s="36">
        <f t="shared" si="11"/>
        <v>5070</v>
      </c>
      <c r="I50" s="37">
        <v>5070</v>
      </c>
      <c r="J50" s="37">
        <v>4080</v>
      </c>
      <c r="K50" s="37">
        <v>0</v>
      </c>
    </row>
    <row r="51" spans="1:11" ht="18" customHeight="1" x14ac:dyDescent="0.2">
      <c r="A51" s="77"/>
      <c r="B51" s="82"/>
      <c r="C51" s="21" t="s">
        <v>8</v>
      </c>
      <c r="D51" s="13">
        <f>E51+G51</f>
        <v>403862</v>
      </c>
      <c r="E51" s="14">
        <v>403184</v>
      </c>
      <c r="F51" s="14">
        <v>264574</v>
      </c>
      <c r="G51" s="14">
        <v>678</v>
      </c>
      <c r="H51" s="36">
        <f t="shared" si="11"/>
        <v>529700</v>
      </c>
      <c r="I51" s="37">
        <v>529700</v>
      </c>
      <c r="J51" s="37">
        <v>488080</v>
      </c>
      <c r="K51" s="37">
        <v>0</v>
      </c>
    </row>
    <row r="52" spans="1:11" ht="18" hidden="1" customHeight="1" x14ac:dyDescent="0.2">
      <c r="A52" s="77"/>
      <c r="B52" s="82"/>
      <c r="C52" s="21" t="s">
        <v>11</v>
      </c>
      <c r="D52" s="13"/>
      <c r="E52" s="14"/>
      <c r="F52" s="14"/>
      <c r="G52" s="14"/>
      <c r="H52" s="36">
        <f t="shared" si="11"/>
        <v>0</v>
      </c>
      <c r="I52" s="37"/>
      <c r="J52" s="37"/>
      <c r="K52" s="37">
        <v>0</v>
      </c>
    </row>
    <row r="53" spans="1:11" ht="18" customHeight="1" x14ac:dyDescent="0.2">
      <c r="A53" s="77"/>
      <c r="B53" s="83"/>
      <c r="C53" s="21" t="s">
        <v>5</v>
      </c>
      <c r="D53" s="13">
        <f>E53+G53</f>
        <v>419</v>
      </c>
      <c r="E53" s="14">
        <v>419</v>
      </c>
      <c r="F53" s="14"/>
      <c r="G53" s="14"/>
      <c r="H53" s="36">
        <f t="shared" si="11"/>
        <v>420</v>
      </c>
      <c r="I53" s="37">
        <v>420</v>
      </c>
      <c r="J53" s="37">
        <v>0</v>
      </c>
      <c r="K53" s="37">
        <v>0</v>
      </c>
    </row>
    <row r="54" spans="1:11" s="5" customFormat="1" ht="87.75" hidden="1" customHeight="1" x14ac:dyDescent="0.2">
      <c r="A54" s="62"/>
      <c r="B54" s="62"/>
      <c r="C54" s="21"/>
      <c r="D54" s="11"/>
      <c r="E54" s="15"/>
      <c r="F54" s="15"/>
      <c r="G54" s="15"/>
      <c r="H54" s="38"/>
      <c r="I54" s="37"/>
      <c r="J54" s="37"/>
      <c r="K54" s="37"/>
    </row>
    <row r="55" spans="1:11" ht="24" customHeight="1" x14ac:dyDescent="0.2">
      <c r="A55" s="75" t="s">
        <v>48</v>
      </c>
      <c r="B55" s="75"/>
      <c r="C55" s="76"/>
      <c r="D55" s="10">
        <f>E55+G55</f>
        <v>393410</v>
      </c>
      <c r="E55" s="10">
        <f>E56+E57+E63</f>
        <v>391385</v>
      </c>
      <c r="F55" s="10">
        <f>F56+F57+F63</f>
        <v>222121</v>
      </c>
      <c r="G55" s="10">
        <f>G56+G57+G63</f>
        <v>2025</v>
      </c>
      <c r="H55" s="39">
        <f>I55+K55</f>
        <v>719344</v>
      </c>
      <c r="I55" s="39">
        <f>I56+I57+I63</f>
        <v>717474</v>
      </c>
      <c r="J55" s="39">
        <f>J56+J57+J63</f>
        <v>459570</v>
      </c>
      <c r="K55" s="39">
        <f>K56+K57+K63</f>
        <v>1870</v>
      </c>
    </row>
    <row r="56" spans="1:11" ht="27" hidden="1" customHeight="1" x14ac:dyDescent="0.2">
      <c r="A56" s="62">
        <v>2</v>
      </c>
      <c r="B56" s="63" t="s">
        <v>28</v>
      </c>
      <c r="C56" s="21" t="s">
        <v>9</v>
      </c>
      <c r="D56" s="11">
        <f t="shared" ref="D56:D79" si="12">E56+G56</f>
        <v>0</v>
      </c>
      <c r="E56" s="15"/>
      <c r="F56" s="15"/>
      <c r="G56" s="15"/>
      <c r="H56" s="38">
        <f t="shared" ref="H56:H79" si="13">I56+K56</f>
        <v>0</v>
      </c>
      <c r="I56" s="37"/>
      <c r="J56" s="37"/>
      <c r="K56" s="37"/>
    </row>
    <row r="57" spans="1:11" ht="18" customHeight="1" x14ac:dyDescent="0.2">
      <c r="A57" s="78">
        <v>1</v>
      </c>
      <c r="B57" s="81" t="s">
        <v>82</v>
      </c>
      <c r="C57" s="21"/>
      <c r="D57" s="11">
        <f t="shared" si="12"/>
        <v>389797</v>
      </c>
      <c r="E57" s="12">
        <f>SUM(E58:E62)</f>
        <v>387772</v>
      </c>
      <c r="F57" s="12">
        <f>SUM(F58:F62)</f>
        <v>222121</v>
      </c>
      <c r="G57" s="12">
        <f>SUM(G58:G62)</f>
        <v>2025</v>
      </c>
      <c r="H57" s="38">
        <f t="shared" si="13"/>
        <v>714344</v>
      </c>
      <c r="I57" s="40">
        <f>SUM(I58:I62)</f>
        <v>712474</v>
      </c>
      <c r="J57" s="40">
        <f>SUM(J58:J62)</f>
        <v>459570</v>
      </c>
      <c r="K57" s="40">
        <f>SUM(K58:K62)</f>
        <v>1870</v>
      </c>
    </row>
    <row r="58" spans="1:11" ht="18" customHeight="1" x14ac:dyDescent="0.2">
      <c r="A58" s="79"/>
      <c r="B58" s="88"/>
      <c r="C58" s="21" t="s">
        <v>3</v>
      </c>
      <c r="D58" s="13">
        <f t="shared" si="12"/>
        <v>378718</v>
      </c>
      <c r="E58" s="14">
        <f>356820+20320</f>
        <v>377140</v>
      </c>
      <c r="F58" s="14">
        <f>206162+15495</f>
        <v>221657</v>
      </c>
      <c r="G58" s="14">
        <v>1578</v>
      </c>
      <c r="H58" s="36">
        <f t="shared" si="13"/>
        <v>609790</v>
      </c>
      <c r="I58" s="49">
        <v>608620</v>
      </c>
      <c r="J58" s="37">
        <v>456570</v>
      </c>
      <c r="K58" s="37">
        <v>1170</v>
      </c>
    </row>
    <row r="59" spans="1:11" ht="18" hidden="1" customHeight="1" x14ac:dyDescent="0.2">
      <c r="A59" s="79"/>
      <c r="B59" s="88"/>
      <c r="C59" s="21" t="s">
        <v>10</v>
      </c>
      <c r="D59" s="13">
        <f t="shared" si="12"/>
        <v>0</v>
      </c>
      <c r="E59" s="14"/>
      <c r="F59" s="14"/>
      <c r="G59" s="14"/>
      <c r="H59" s="36">
        <f t="shared" si="13"/>
        <v>0</v>
      </c>
      <c r="I59" s="37"/>
      <c r="J59" s="37"/>
      <c r="K59" s="37"/>
    </row>
    <row r="60" spans="1:11" ht="18" customHeight="1" x14ac:dyDescent="0.2">
      <c r="A60" s="79"/>
      <c r="B60" s="88"/>
      <c r="C60" s="21" t="s">
        <v>81</v>
      </c>
      <c r="D60" s="13"/>
      <c r="E60" s="14"/>
      <c r="F60" s="14"/>
      <c r="G60" s="14"/>
      <c r="H60" s="36">
        <f t="shared" si="13"/>
        <v>11060</v>
      </c>
      <c r="I60" s="49">
        <v>11060</v>
      </c>
      <c r="J60" s="37">
        <v>0</v>
      </c>
      <c r="K60" s="37">
        <v>0</v>
      </c>
    </row>
    <row r="61" spans="1:11" ht="18" hidden="1" customHeight="1" x14ac:dyDescent="0.2">
      <c r="A61" s="79"/>
      <c r="B61" s="88"/>
      <c r="C61" s="21" t="s">
        <v>11</v>
      </c>
      <c r="D61" s="13"/>
      <c r="E61" s="14"/>
      <c r="F61" s="14"/>
      <c r="G61" s="14"/>
      <c r="H61" s="51">
        <f t="shared" ref="H61" si="14">I61+K61</f>
        <v>0</v>
      </c>
      <c r="I61" s="49"/>
      <c r="J61" s="49">
        <v>0</v>
      </c>
      <c r="K61" s="37">
        <v>0</v>
      </c>
    </row>
    <row r="62" spans="1:11" ht="18" customHeight="1" x14ac:dyDescent="0.2">
      <c r="A62" s="80"/>
      <c r="B62" s="89"/>
      <c r="C62" s="21" t="s">
        <v>5</v>
      </c>
      <c r="D62" s="13">
        <f t="shared" si="12"/>
        <v>11079</v>
      </c>
      <c r="E62" s="14">
        <v>10632</v>
      </c>
      <c r="F62" s="14">
        <v>464</v>
      </c>
      <c r="G62" s="14">
        <v>447</v>
      </c>
      <c r="H62" s="51">
        <f t="shared" si="13"/>
        <v>93494</v>
      </c>
      <c r="I62" s="49">
        <v>92794</v>
      </c>
      <c r="J62" s="49">
        <v>3000</v>
      </c>
      <c r="K62" s="37">
        <v>700</v>
      </c>
    </row>
    <row r="63" spans="1:11" ht="30" customHeight="1" x14ac:dyDescent="0.2">
      <c r="A63" s="62">
        <v>5</v>
      </c>
      <c r="B63" s="63" t="s">
        <v>31</v>
      </c>
      <c r="C63" s="21" t="s">
        <v>8</v>
      </c>
      <c r="D63" s="11">
        <f t="shared" si="12"/>
        <v>3613</v>
      </c>
      <c r="E63" s="12">
        <v>3613</v>
      </c>
      <c r="F63" s="15"/>
      <c r="G63" s="15"/>
      <c r="H63" s="52">
        <f t="shared" si="13"/>
        <v>5000</v>
      </c>
      <c r="I63" s="53">
        <v>5000</v>
      </c>
      <c r="J63" s="53">
        <v>0</v>
      </c>
      <c r="K63" s="40">
        <v>0</v>
      </c>
    </row>
    <row r="64" spans="1:11" ht="24" customHeight="1" x14ac:dyDescent="0.2">
      <c r="A64" s="75" t="s">
        <v>49</v>
      </c>
      <c r="B64" s="75"/>
      <c r="C64" s="76"/>
      <c r="D64" s="10">
        <f t="shared" si="12"/>
        <v>327684</v>
      </c>
      <c r="E64" s="10">
        <f>E65+E71</f>
        <v>327684</v>
      </c>
      <c r="F64" s="10">
        <f>F65+F71</f>
        <v>215186</v>
      </c>
      <c r="G64" s="10">
        <f>G65+G71</f>
        <v>0</v>
      </c>
      <c r="H64" s="48">
        <f t="shared" si="13"/>
        <v>482040</v>
      </c>
      <c r="I64" s="48">
        <f>I65+I71</f>
        <v>482040</v>
      </c>
      <c r="J64" s="48">
        <f>J65+J71</f>
        <v>410060</v>
      </c>
      <c r="K64" s="39">
        <f>K65+K71</f>
        <v>0</v>
      </c>
    </row>
    <row r="65" spans="1:11" ht="18" customHeight="1" x14ac:dyDescent="0.2">
      <c r="A65" s="77">
        <v>1</v>
      </c>
      <c r="B65" s="81" t="s">
        <v>82</v>
      </c>
      <c r="C65" s="23"/>
      <c r="D65" s="11">
        <f t="shared" si="12"/>
        <v>325886</v>
      </c>
      <c r="E65" s="12">
        <f>E66+E67+E70</f>
        <v>325886</v>
      </c>
      <c r="F65" s="12">
        <f>SUBTOTAL(9,F66:F71)</f>
        <v>215186</v>
      </c>
      <c r="G65" s="12">
        <f>SUBTOTAL(9,G66:G71)</f>
        <v>0</v>
      </c>
      <c r="H65" s="52">
        <f t="shared" si="13"/>
        <v>482040</v>
      </c>
      <c r="I65" s="53">
        <f>I66+I67+I70+I68+I69</f>
        <v>482040</v>
      </c>
      <c r="J65" s="53">
        <f t="shared" ref="J65:K65" si="15">J66+J67+J70+J68+J69</f>
        <v>410060</v>
      </c>
      <c r="K65" s="40">
        <f t="shared" si="15"/>
        <v>0</v>
      </c>
    </row>
    <row r="66" spans="1:11" ht="18" customHeight="1" x14ac:dyDescent="0.2">
      <c r="A66" s="77"/>
      <c r="B66" s="82"/>
      <c r="C66" s="21" t="s">
        <v>3</v>
      </c>
      <c r="D66" s="13">
        <f t="shared" si="12"/>
        <v>324578</v>
      </c>
      <c r="E66" s="14">
        <f>305608+18970</f>
        <v>324578</v>
      </c>
      <c r="F66" s="14">
        <f>200705+14481</f>
        <v>215186</v>
      </c>
      <c r="G66" s="14"/>
      <c r="H66" s="51">
        <f t="shared" si="13"/>
        <v>480440</v>
      </c>
      <c r="I66" s="49">
        <v>480440</v>
      </c>
      <c r="J66" s="49">
        <v>410060</v>
      </c>
      <c r="K66" s="37">
        <v>0</v>
      </c>
    </row>
    <row r="67" spans="1:11" ht="18" hidden="1" customHeight="1" x14ac:dyDescent="0.2">
      <c r="A67" s="77"/>
      <c r="B67" s="82"/>
      <c r="C67" s="21" t="s">
        <v>10</v>
      </c>
      <c r="D67" s="13">
        <f t="shared" si="12"/>
        <v>0</v>
      </c>
      <c r="E67" s="14"/>
      <c r="F67" s="14"/>
      <c r="G67" s="14"/>
      <c r="H67" s="51">
        <f t="shared" si="13"/>
        <v>0</v>
      </c>
      <c r="I67" s="49"/>
      <c r="J67" s="49"/>
      <c r="K67" s="37">
        <v>0</v>
      </c>
    </row>
    <row r="68" spans="1:11" ht="18" hidden="1" customHeight="1" x14ac:dyDescent="0.2">
      <c r="A68" s="77"/>
      <c r="B68" s="82"/>
      <c r="C68" s="21" t="s">
        <v>81</v>
      </c>
      <c r="D68" s="13"/>
      <c r="E68" s="14"/>
      <c r="F68" s="14"/>
      <c r="G68" s="14"/>
      <c r="H68" s="51">
        <f t="shared" si="13"/>
        <v>0</v>
      </c>
      <c r="I68" s="49"/>
      <c r="J68" s="49">
        <v>0</v>
      </c>
      <c r="K68" s="37">
        <v>0</v>
      </c>
    </row>
    <row r="69" spans="1:11" ht="18" hidden="1" customHeight="1" x14ac:dyDescent="0.2">
      <c r="A69" s="77"/>
      <c r="B69" s="82"/>
      <c r="C69" s="21" t="s">
        <v>11</v>
      </c>
      <c r="D69" s="13"/>
      <c r="E69" s="14"/>
      <c r="F69" s="14"/>
      <c r="G69" s="14"/>
      <c r="H69" s="51">
        <f t="shared" si="13"/>
        <v>0</v>
      </c>
      <c r="I69" s="49"/>
      <c r="J69" s="49">
        <v>0</v>
      </c>
      <c r="K69" s="37">
        <v>0</v>
      </c>
    </row>
    <row r="70" spans="1:11" ht="18" customHeight="1" x14ac:dyDescent="0.2">
      <c r="A70" s="77"/>
      <c r="B70" s="83"/>
      <c r="C70" s="21" t="s">
        <v>5</v>
      </c>
      <c r="D70" s="13">
        <f t="shared" si="12"/>
        <v>1308</v>
      </c>
      <c r="E70" s="14">
        <v>1308</v>
      </c>
      <c r="F70" s="14"/>
      <c r="G70" s="14"/>
      <c r="H70" s="51">
        <f t="shared" si="13"/>
        <v>1600</v>
      </c>
      <c r="I70" s="49">
        <v>1600</v>
      </c>
      <c r="J70" s="49">
        <v>0</v>
      </c>
      <c r="K70" s="37">
        <v>0</v>
      </c>
    </row>
    <row r="71" spans="1:11" ht="30" hidden="1" customHeight="1" x14ac:dyDescent="0.2">
      <c r="A71" s="62">
        <v>5</v>
      </c>
      <c r="B71" s="63" t="s">
        <v>31</v>
      </c>
      <c r="C71" s="21" t="s">
        <v>8</v>
      </c>
      <c r="D71" s="11">
        <f t="shared" si="12"/>
        <v>1798</v>
      </c>
      <c r="E71" s="12">
        <v>1798</v>
      </c>
      <c r="F71" s="15"/>
      <c r="G71" s="15"/>
      <c r="H71" s="52">
        <f t="shared" si="13"/>
        <v>0</v>
      </c>
      <c r="I71" s="53">
        <v>0</v>
      </c>
      <c r="J71" s="53">
        <v>0</v>
      </c>
      <c r="K71" s="40">
        <v>0</v>
      </c>
    </row>
    <row r="72" spans="1:11" ht="25.15" customHeight="1" x14ac:dyDescent="0.2">
      <c r="A72" s="75" t="s">
        <v>13</v>
      </c>
      <c r="B72" s="75"/>
      <c r="C72" s="76"/>
      <c r="D72" s="10">
        <f t="shared" si="12"/>
        <v>539683</v>
      </c>
      <c r="E72" s="10">
        <f>E74+E79</f>
        <v>539683</v>
      </c>
      <c r="F72" s="10">
        <f>F74</f>
        <v>300273</v>
      </c>
      <c r="G72" s="10">
        <f>G74+G79</f>
        <v>0</v>
      </c>
      <c r="H72" s="48">
        <f t="shared" si="13"/>
        <v>1099360</v>
      </c>
      <c r="I72" s="48">
        <f>I74+I79</f>
        <v>1075360</v>
      </c>
      <c r="J72" s="48">
        <f>J74</f>
        <v>851010</v>
      </c>
      <c r="K72" s="39">
        <f>K74+K79</f>
        <v>24000</v>
      </c>
    </row>
    <row r="73" spans="1:11" ht="15" hidden="1" customHeight="1" x14ac:dyDescent="0.2">
      <c r="A73" s="72"/>
      <c r="B73" s="72"/>
      <c r="C73" s="73"/>
      <c r="D73" s="11">
        <f t="shared" si="12"/>
        <v>539683</v>
      </c>
      <c r="E73" s="12">
        <f>E74+E79</f>
        <v>539683</v>
      </c>
      <c r="F73" s="12">
        <f>SUBTOTAL(9,F74:F79)</f>
        <v>600546</v>
      </c>
      <c r="G73" s="12">
        <f>SUBTOTAL(9,G74:G79)</f>
        <v>0</v>
      </c>
      <c r="H73" s="52">
        <f t="shared" si="13"/>
        <v>1123360</v>
      </c>
      <c r="I73" s="53">
        <f>I74+I79</f>
        <v>1075360</v>
      </c>
      <c r="J73" s="53">
        <f>SUBTOTAL(9,J74:J79)</f>
        <v>1702020</v>
      </c>
      <c r="K73" s="40">
        <f>SUBTOTAL(9,K74:K79)</f>
        <v>48000</v>
      </c>
    </row>
    <row r="74" spans="1:11" ht="18" customHeight="1" x14ac:dyDescent="0.2">
      <c r="A74" s="77">
        <v>4</v>
      </c>
      <c r="B74" s="74" t="s">
        <v>30</v>
      </c>
      <c r="C74" s="21"/>
      <c r="D74" s="11">
        <f t="shared" si="12"/>
        <v>536796</v>
      </c>
      <c r="E74" s="12">
        <f>E75+E76+E78</f>
        <v>536796</v>
      </c>
      <c r="F74" s="12">
        <f>F75+F76+F78</f>
        <v>300273</v>
      </c>
      <c r="G74" s="12">
        <f>G75+G76+G78</f>
        <v>0</v>
      </c>
      <c r="H74" s="52">
        <f t="shared" si="13"/>
        <v>1096860</v>
      </c>
      <c r="I74" s="53">
        <f>I75+I76+I78+I77</f>
        <v>1072860</v>
      </c>
      <c r="J74" s="53">
        <f>J75+J76+J78+J77</f>
        <v>851010</v>
      </c>
      <c r="K74" s="40">
        <f>K75+K76+K78</f>
        <v>24000</v>
      </c>
    </row>
    <row r="75" spans="1:11" ht="18" customHeight="1" x14ac:dyDescent="0.2">
      <c r="A75" s="77"/>
      <c r="B75" s="74"/>
      <c r="C75" s="21" t="s">
        <v>3</v>
      </c>
      <c r="D75" s="13">
        <f t="shared" si="12"/>
        <v>256057</v>
      </c>
      <c r="E75" s="14">
        <v>256057</v>
      </c>
      <c r="F75" s="14">
        <v>171658</v>
      </c>
      <c r="G75" s="14"/>
      <c r="H75" s="51">
        <f t="shared" si="13"/>
        <v>547810</v>
      </c>
      <c r="I75" s="49">
        <v>547810</v>
      </c>
      <c r="J75" s="49">
        <v>452950</v>
      </c>
      <c r="K75" s="37">
        <v>0</v>
      </c>
    </row>
    <row r="76" spans="1:11" ht="18" customHeight="1" x14ac:dyDescent="0.2">
      <c r="A76" s="77"/>
      <c r="B76" s="74"/>
      <c r="C76" s="21" t="s">
        <v>8</v>
      </c>
      <c r="D76" s="13">
        <f t="shared" si="12"/>
        <v>168414</v>
      </c>
      <c r="E76" s="14">
        <v>168414</v>
      </c>
      <c r="F76" s="14">
        <v>113265</v>
      </c>
      <c r="G76" s="14"/>
      <c r="H76" s="51">
        <f t="shared" si="13"/>
        <v>400500</v>
      </c>
      <c r="I76" s="49">
        <v>400500</v>
      </c>
      <c r="J76" s="49">
        <v>378720</v>
      </c>
      <c r="K76" s="37">
        <v>0</v>
      </c>
    </row>
    <row r="77" spans="1:11" ht="18" customHeight="1" x14ac:dyDescent="0.2">
      <c r="A77" s="77"/>
      <c r="B77" s="74"/>
      <c r="C77" s="21" t="s">
        <v>6</v>
      </c>
      <c r="D77" s="13"/>
      <c r="E77" s="14"/>
      <c r="F77" s="14"/>
      <c r="G77" s="14"/>
      <c r="H77" s="51">
        <f t="shared" ref="H77" si="16">I77+K77</f>
        <v>2400</v>
      </c>
      <c r="I77" s="49">
        <v>2400</v>
      </c>
      <c r="J77" s="49">
        <v>0</v>
      </c>
      <c r="K77" s="37">
        <v>0</v>
      </c>
    </row>
    <row r="78" spans="1:11" ht="18" customHeight="1" x14ac:dyDescent="0.2">
      <c r="A78" s="77"/>
      <c r="B78" s="74"/>
      <c r="C78" s="21" t="s">
        <v>5</v>
      </c>
      <c r="D78" s="13">
        <f t="shared" si="12"/>
        <v>112325</v>
      </c>
      <c r="E78" s="14">
        <v>112325</v>
      </c>
      <c r="F78" s="14">
        <v>15350</v>
      </c>
      <c r="G78" s="14"/>
      <c r="H78" s="51">
        <f t="shared" si="13"/>
        <v>146150</v>
      </c>
      <c r="I78" s="49">
        <v>122150</v>
      </c>
      <c r="J78" s="49">
        <f>14000+5340</f>
        <v>19340</v>
      </c>
      <c r="K78" s="37">
        <v>24000</v>
      </c>
    </row>
    <row r="79" spans="1:11" ht="30" customHeight="1" x14ac:dyDescent="0.2">
      <c r="A79" s="62">
        <v>5</v>
      </c>
      <c r="B79" s="63" t="s">
        <v>31</v>
      </c>
      <c r="C79" s="21" t="s">
        <v>8</v>
      </c>
      <c r="D79" s="11">
        <f t="shared" si="12"/>
        <v>2887</v>
      </c>
      <c r="E79" s="12">
        <v>2887</v>
      </c>
      <c r="F79" s="15"/>
      <c r="G79" s="15"/>
      <c r="H79" s="52">
        <f t="shared" si="13"/>
        <v>2500</v>
      </c>
      <c r="I79" s="53">
        <v>2500</v>
      </c>
      <c r="J79" s="53">
        <v>0</v>
      </c>
      <c r="K79" s="40">
        <v>0</v>
      </c>
    </row>
    <row r="80" spans="1:11" ht="30" customHeight="1" x14ac:dyDescent="0.2">
      <c r="A80" s="75" t="s">
        <v>44</v>
      </c>
      <c r="B80" s="75"/>
      <c r="C80" s="76"/>
      <c r="D80" s="10">
        <f t="shared" ref="D80:D93" si="17">E80+G80</f>
        <v>912640</v>
      </c>
      <c r="E80" s="10">
        <f>E82+E84</f>
        <v>103975</v>
      </c>
      <c r="F80" s="10"/>
      <c r="G80" s="10">
        <f>G82+G84</f>
        <v>808665</v>
      </c>
      <c r="H80" s="48">
        <f t="shared" ref="H80:H93" si="18">I80+K80</f>
        <v>129240</v>
      </c>
      <c r="I80" s="48">
        <f>I82+I84+I83</f>
        <v>62600</v>
      </c>
      <c r="J80" s="48">
        <v>0</v>
      </c>
      <c r="K80" s="39">
        <f>K82+K84+K83</f>
        <v>66640</v>
      </c>
    </row>
    <row r="81" spans="1:11" ht="15" hidden="1" customHeight="1" x14ac:dyDescent="0.2">
      <c r="A81" s="62"/>
      <c r="B81" s="63"/>
      <c r="C81" s="21"/>
      <c r="D81" s="11">
        <f t="shared" si="17"/>
        <v>1070359</v>
      </c>
      <c r="E81" s="12">
        <f>SUBTOTAL(9,E82:E84)</f>
        <v>207950</v>
      </c>
      <c r="F81" s="12">
        <f>SUBTOTAL(9,F82:F84)</f>
        <v>0</v>
      </c>
      <c r="G81" s="12">
        <f>SUBTOTAL(9,G82:G84)</f>
        <v>862409</v>
      </c>
      <c r="H81" s="52">
        <f t="shared" si="18"/>
        <v>129240</v>
      </c>
      <c r="I81" s="53">
        <f>SUBTOTAL(9,I82:I84)</f>
        <v>62600</v>
      </c>
      <c r="J81" s="53">
        <f>SUBTOTAL(9,J82:J84)</f>
        <v>0</v>
      </c>
      <c r="K81" s="40">
        <f>SUBTOTAL(9,K82:K84)</f>
        <v>66640</v>
      </c>
    </row>
    <row r="82" spans="1:11" ht="18" customHeight="1" x14ac:dyDescent="0.2">
      <c r="A82" s="77">
        <v>5</v>
      </c>
      <c r="B82" s="74" t="s">
        <v>31</v>
      </c>
      <c r="C82" s="21" t="s">
        <v>3</v>
      </c>
      <c r="D82" s="13">
        <f t="shared" si="17"/>
        <v>157719</v>
      </c>
      <c r="E82" s="14">
        <v>103975</v>
      </c>
      <c r="F82" s="14"/>
      <c r="G82" s="14">
        <v>53744</v>
      </c>
      <c r="H82" s="51">
        <f t="shared" si="18"/>
        <v>129240</v>
      </c>
      <c r="I82" s="49">
        <f>62000+600</f>
        <v>62600</v>
      </c>
      <c r="J82" s="49">
        <v>0</v>
      </c>
      <c r="K82" s="37">
        <v>66640</v>
      </c>
    </row>
    <row r="83" spans="1:11" ht="18" hidden="1" customHeight="1" x14ac:dyDescent="0.2">
      <c r="A83" s="77"/>
      <c r="B83" s="74"/>
      <c r="C83" s="21" t="s">
        <v>7</v>
      </c>
      <c r="D83" s="13">
        <f t="shared" ref="D83" si="19">E83+G83</f>
        <v>157719</v>
      </c>
      <c r="E83" s="14">
        <v>103975</v>
      </c>
      <c r="F83" s="14"/>
      <c r="G83" s="14">
        <v>53744</v>
      </c>
      <c r="H83" s="51">
        <f t="shared" ref="H83" si="20">I83+K83</f>
        <v>0</v>
      </c>
      <c r="I83" s="49">
        <v>0</v>
      </c>
      <c r="J83" s="49">
        <v>0</v>
      </c>
      <c r="K83" s="37"/>
    </row>
    <row r="84" spans="1:11" ht="18" customHeight="1" x14ac:dyDescent="0.2">
      <c r="A84" s="77"/>
      <c r="B84" s="74"/>
      <c r="C84" s="21" t="s">
        <v>8</v>
      </c>
      <c r="D84" s="13">
        <f t="shared" si="17"/>
        <v>754921</v>
      </c>
      <c r="E84" s="14"/>
      <c r="F84" s="14"/>
      <c r="G84" s="14">
        <v>754921</v>
      </c>
      <c r="H84" s="51">
        <f t="shared" si="18"/>
        <v>0</v>
      </c>
      <c r="I84" s="49">
        <v>0</v>
      </c>
      <c r="J84" s="49">
        <v>0</v>
      </c>
      <c r="K84" s="37">
        <v>0</v>
      </c>
    </row>
    <row r="85" spans="1:11" ht="23.45" customHeight="1" x14ac:dyDescent="0.2">
      <c r="A85" s="75" t="s">
        <v>45</v>
      </c>
      <c r="B85" s="75"/>
      <c r="C85" s="76"/>
      <c r="D85" s="10">
        <f t="shared" si="17"/>
        <v>393348</v>
      </c>
      <c r="E85" s="10">
        <f>E87+E95+E96</f>
        <v>393348</v>
      </c>
      <c r="F85" s="10">
        <f>F87+F95+F96</f>
        <v>245449</v>
      </c>
      <c r="G85" s="10">
        <f>G87+G95+G96</f>
        <v>0</v>
      </c>
      <c r="H85" s="48">
        <f t="shared" si="18"/>
        <v>601955</v>
      </c>
      <c r="I85" s="48">
        <f>I87+I95+I96</f>
        <v>601955</v>
      </c>
      <c r="J85" s="48">
        <f>J87+J95+J96</f>
        <v>504075</v>
      </c>
      <c r="K85" s="39">
        <f>K87+K95+K96</f>
        <v>0</v>
      </c>
    </row>
    <row r="86" spans="1:11" ht="15" hidden="1" customHeight="1" x14ac:dyDescent="0.2">
      <c r="A86" s="72"/>
      <c r="B86" s="72"/>
      <c r="C86" s="73"/>
      <c r="D86" s="11">
        <f t="shared" si="17"/>
        <v>0</v>
      </c>
      <c r="E86" s="12"/>
      <c r="F86" s="12"/>
      <c r="G86" s="12"/>
      <c r="H86" s="52">
        <f t="shared" si="18"/>
        <v>0</v>
      </c>
      <c r="I86" s="53"/>
      <c r="J86" s="53"/>
      <c r="K86" s="40"/>
    </row>
    <row r="87" spans="1:11" ht="18" customHeight="1" x14ac:dyDescent="0.2">
      <c r="A87" s="77">
        <v>1</v>
      </c>
      <c r="B87" s="74" t="s">
        <v>82</v>
      </c>
      <c r="C87" s="70"/>
      <c r="D87" s="11">
        <f t="shared" si="17"/>
        <v>366591</v>
      </c>
      <c r="E87" s="12">
        <f>E88+E90+E89+E91+E92+E93</f>
        <v>366591</v>
      </c>
      <c r="F87" s="12">
        <f>F88+F90+F89+F91+F92+F93</f>
        <v>229029</v>
      </c>
      <c r="G87" s="12">
        <f>G88+G90+G89+G91+G92+G93</f>
        <v>0</v>
      </c>
      <c r="H87" s="52">
        <f t="shared" si="18"/>
        <v>598055</v>
      </c>
      <c r="I87" s="53">
        <f>I88+I90+I89+I91+I92+I93</f>
        <v>598055</v>
      </c>
      <c r="J87" s="53">
        <f>J88+J90+J89+J91+J92+J93</f>
        <v>504075</v>
      </c>
      <c r="K87" s="40">
        <f>K88+K90+K89+K91+K92+K93</f>
        <v>0</v>
      </c>
    </row>
    <row r="88" spans="1:11" ht="18" customHeight="1" x14ac:dyDescent="0.2">
      <c r="A88" s="77"/>
      <c r="B88" s="74"/>
      <c r="C88" s="70" t="s">
        <v>3</v>
      </c>
      <c r="D88" s="13">
        <f t="shared" si="17"/>
        <v>190833</v>
      </c>
      <c r="E88" s="14">
        <v>190833</v>
      </c>
      <c r="F88" s="14">
        <v>127433</v>
      </c>
      <c r="G88" s="14"/>
      <c r="H88" s="51">
        <f t="shared" si="18"/>
        <v>316720</v>
      </c>
      <c r="I88" s="49">
        <v>316720</v>
      </c>
      <c r="J88" s="49">
        <v>286800</v>
      </c>
      <c r="K88" s="37">
        <v>0</v>
      </c>
    </row>
    <row r="89" spans="1:11" ht="18" hidden="1" customHeight="1" x14ac:dyDescent="0.2">
      <c r="A89" s="77"/>
      <c r="B89" s="74"/>
      <c r="C89" s="70" t="s">
        <v>4</v>
      </c>
      <c r="D89" s="13">
        <f t="shared" si="17"/>
        <v>0</v>
      </c>
      <c r="E89" s="14"/>
      <c r="F89" s="14"/>
      <c r="G89" s="14"/>
      <c r="H89" s="51">
        <f>I89+K89</f>
        <v>0</v>
      </c>
      <c r="I89" s="49"/>
      <c r="J89" s="49"/>
      <c r="K89" s="37"/>
    </row>
    <row r="90" spans="1:11" ht="18" customHeight="1" x14ac:dyDescent="0.2">
      <c r="A90" s="77"/>
      <c r="B90" s="74"/>
      <c r="C90" s="70" t="s">
        <v>10</v>
      </c>
      <c r="D90" s="13">
        <f t="shared" si="17"/>
        <v>119051</v>
      </c>
      <c r="E90" s="14">
        <v>119051</v>
      </c>
      <c r="F90" s="14">
        <v>88230</v>
      </c>
      <c r="G90" s="14"/>
      <c r="H90" s="51">
        <f t="shared" si="18"/>
        <v>202445</v>
      </c>
      <c r="I90" s="49">
        <v>202445</v>
      </c>
      <c r="J90" s="49">
        <v>195295</v>
      </c>
      <c r="K90" s="37">
        <v>0</v>
      </c>
    </row>
    <row r="91" spans="1:11" ht="18" customHeight="1" x14ac:dyDescent="0.2">
      <c r="A91" s="77"/>
      <c r="B91" s="74"/>
      <c r="C91" s="70" t="s">
        <v>5</v>
      </c>
      <c r="D91" s="13">
        <f t="shared" si="17"/>
        <v>25776</v>
      </c>
      <c r="E91" s="14">
        <v>25776</v>
      </c>
      <c r="F91" s="14"/>
      <c r="G91" s="14"/>
      <c r="H91" s="51">
        <f t="shared" si="18"/>
        <v>34990</v>
      </c>
      <c r="I91" s="49">
        <v>34990</v>
      </c>
      <c r="J91" s="49">
        <v>70</v>
      </c>
      <c r="K91" s="37">
        <v>0</v>
      </c>
    </row>
    <row r="92" spans="1:11" ht="18" hidden="1" customHeight="1" x14ac:dyDescent="0.2">
      <c r="A92" s="77"/>
      <c r="B92" s="74"/>
      <c r="C92" s="70" t="s">
        <v>5</v>
      </c>
      <c r="D92" s="13">
        <f t="shared" si="17"/>
        <v>0</v>
      </c>
      <c r="E92" s="14"/>
      <c r="F92" s="14"/>
      <c r="G92" s="14"/>
      <c r="H92" s="56">
        <f t="shared" si="18"/>
        <v>0</v>
      </c>
      <c r="I92" s="50"/>
      <c r="J92" s="50"/>
      <c r="K92" s="14"/>
    </row>
    <row r="93" spans="1:11" ht="18" customHeight="1" x14ac:dyDescent="0.2">
      <c r="A93" s="77"/>
      <c r="B93" s="74"/>
      <c r="C93" s="70" t="s">
        <v>11</v>
      </c>
      <c r="D93" s="13">
        <f t="shared" si="17"/>
        <v>30931</v>
      </c>
      <c r="E93" s="14">
        <v>30931</v>
      </c>
      <c r="F93" s="14">
        <v>13366</v>
      </c>
      <c r="G93" s="14"/>
      <c r="H93" s="51">
        <f t="shared" si="18"/>
        <v>43900</v>
      </c>
      <c r="I93" s="49">
        <v>43900</v>
      </c>
      <c r="J93" s="49">
        <v>21910</v>
      </c>
      <c r="K93" s="14">
        <v>0</v>
      </c>
    </row>
    <row r="94" spans="1:11" ht="14.25" hidden="1" customHeight="1" x14ac:dyDescent="0.2">
      <c r="A94" s="77">
        <v>4</v>
      </c>
      <c r="B94" s="77" t="s">
        <v>30</v>
      </c>
      <c r="C94" s="110"/>
      <c r="D94" s="16"/>
      <c r="E94" s="16"/>
      <c r="F94" s="16"/>
      <c r="G94" s="15"/>
      <c r="H94" s="57"/>
      <c r="I94" s="57"/>
      <c r="J94" s="57"/>
      <c r="K94" s="14"/>
    </row>
    <row r="95" spans="1:11" ht="30" customHeight="1" x14ac:dyDescent="0.2">
      <c r="A95" s="77"/>
      <c r="B95" s="77"/>
      <c r="C95" s="70" t="s">
        <v>8</v>
      </c>
      <c r="D95" s="11">
        <f>E95+G94</f>
        <v>26386</v>
      </c>
      <c r="E95" s="12">
        <v>26386</v>
      </c>
      <c r="F95" s="12">
        <v>16420</v>
      </c>
      <c r="G95" s="14"/>
      <c r="H95" s="52">
        <f>I95+K94</f>
        <v>1400</v>
      </c>
      <c r="I95" s="53">
        <v>1400</v>
      </c>
      <c r="J95" s="55">
        <v>0</v>
      </c>
      <c r="K95" s="18">
        <v>0</v>
      </c>
    </row>
    <row r="96" spans="1:11" ht="30" customHeight="1" x14ac:dyDescent="0.2">
      <c r="A96" s="70">
        <v>5</v>
      </c>
      <c r="B96" s="71" t="s">
        <v>31</v>
      </c>
      <c r="C96" s="70" t="s">
        <v>8</v>
      </c>
      <c r="D96" s="11">
        <f>E96+G96</f>
        <v>371</v>
      </c>
      <c r="E96" s="12">
        <v>371</v>
      </c>
      <c r="F96" s="12"/>
      <c r="G96" s="15"/>
      <c r="H96" s="52">
        <f>I96+K96</f>
        <v>2500</v>
      </c>
      <c r="I96" s="53">
        <v>2500</v>
      </c>
      <c r="J96" s="55">
        <v>0</v>
      </c>
      <c r="K96" s="18">
        <v>0</v>
      </c>
    </row>
    <row r="97" spans="1:11" ht="22.9" customHeight="1" x14ac:dyDescent="0.2">
      <c r="A97" s="75" t="s">
        <v>50</v>
      </c>
      <c r="B97" s="75"/>
      <c r="C97" s="76"/>
      <c r="D97" s="10">
        <f t="shared" ref="D97:D102" si="21">E97+G97</f>
        <v>238035</v>
      </c>
      <c r="E97" s="10">
        <f>E99+E106+E107</f>
        <v>231255</v>
      </c>
      <c r="F97" s="10">
        <f>F99+F106+F107</f>
        <v>134877</v>
      </c>
      <c r="G97" s="10">
        <f>G99+G106+G107</f>
        <v>6780</v>
      </c>
      <c r="H97" s="48">
        <f t="shared" ref="H97:H102" si="22">I97+K97</f>
        <v>330275</v>
      </c>
      <c r="I97" s="48">
        <f>I99+I106+I107</f>
        <v>327275</v>
      </c>
      <c r="J97" s="48">
        <f>J99+J106+J107</f>
        <v>254530</v>
      </c>
      <c r="K97" s="39">
        <f>K99+K106+K107</f>
        <v>3000</v>
      </c>
    </row>
    <row r="98" spans="1:11" ht="15" hidden="1" customHeight="1" x14ac:dyDescent="0.2">
      <c r="A98" s="72"/>
      <c r="B98" s="72"/>
      <c r="C98" s="73"/>
      <c r="D98" s="27">
        <f t="shared" si="21"/>
        <v>238035</v>
      </c>
      <c r="E98" s="19">
        <f>SUBTOTAL(9,E100:E107)</f>
        <v>231255</v>
      </c>
      <c r="F98" s="19">
        <f>SUBTOTAL(9,F100:F107)</f>
        <v>134877</v>
      </c>
      <c r="G98" s="19">
        <f>SUBTOTAL(9,G100:G107)</f>
        <v>6780</v>
      </c>
      <c r="H98" s="52">
        <f t="shared" si="22"/>
        <v>330275</v>
      </c>
      <c r="I98" s="53">
        <f>SUBTOTAL(9,I100:I107)</f>
        <v>327275</v>
      </c>
      <c r="J98" s="53">
        <f>SUBTOTAL(9,J100:J107)</f>
        <v>254530</v>
      </c>
      <c r="K98" s="18">
        <f>SUBTOTAL(9,K100:K107)</f>
        <v>3000</v>
      </c>
    </row>
    <row r="99" spans="1:11" ht="18" customHeight="1" x14ac:dyDescent="0.2">
      <c r="A99" s="77">
        <v>1</v>
      </c>
      <c r="B99" s="81" t="s">
        <v>82</v>
      </c>
      <c r="C99" s="22"/>
      <c r="D99" s="12">
        <f t="shared" si="21"/>
        <v>237540</v>
      </c>
      <c r="E99" s="12">
        <f>E100+E102+E101+E104+E105</f>
        <v>230760</v>
      </c>
      <c r="F99" s="12">
        <f>F100+F102+F101+F104+F105</f>
        <v>134871</v>
      </c>
      <c r="G99" s="12">
        <f>G100+G102+G101+G104+G105</f>
        <v>6780</v>
      </c>
      <c r="H99" s="53">
        <f t="shared" si="22"/>
        <v>329125</v>
      </c>
      <c r="I99" s="53">
        <f>I100+I102+I101+I104+I105+I103</f>
        <v>326125</v>
      </c>
      <c r="J99" s="53">
        <f t="shared" ref="J99:K99" si="23">J100+J102+J101+J104+J105+J103</f>
        <v>254530</v>
      </c>
      <c r="K99" s="53">
        <f t="shared" si="23"/>
        <v>3000</v>
      </c>
    </row>
    <row r="100" spans="1:11" ht="18" customHeight="1" x14ac:dyDescent="0.2">
      <c r="A100" s="77"/>
      <c r="B100" s="82"/>
      <c r="C100" s="21" t="s">
        <v>3</v>
      </c>
      <c r="D100" s="13">
        <f t="shared" si="21"/>
        <v>125855</v>
      </c>
      <c r="E100" s="14">
        <v>120063</v>
      </c>
      <c r="F100" s="14">
        <v>76749</v>
      </c>
      <c r="G100" s="14">
        <v>5792</v>
      </c>
      <c r="H100" s="51">
        <f t="shared" si="22"/>
        <v>182410</v>
      </c>
      <c r="I100" s="49">
        <v>179410</v>
      </c>
      <c r="J100" s="49">
        <v>152000</v>
      </c>
      <c r="K100" s="37">
        <v>3000</v>
      </c>
    </row>
    <row r="101" spans="1:11" ht="18" hidden="1" customHeight="1" x14ac:dyDescent="0.2">
      <c r="A101" s="77"/>
      <c r="B101" s="82"/>
      <c r="C101" s="21" t="s">
        <v>4</v>
      </c>
      <c r="D101" s="13">
        <f t="shared" si="21"/>
        <v>0</v>
      </c>
      <c r="E101" s="14"/>
      <c r="F101" s="14"/>
      <c r="G101" s="14"/>
      <c r="H101" s="51">
        <f t="shared" si="22"/>
        <v>0</v>
      </c>
      <c r="I101" s="49"/>
      <c r="J101" s="49"/>
      <c r="K101" s="14"/>
    </row>
    <row r="102" spans="1:11" ht="18" customHeight="1" x14ac:dyDescent="0.2">
      <c r="A102" s="77"/>
      <c r="B102" s="82"/>
      <c r="C102" s="21" t="s">
        <v>10</v>
      </c>
      <c r="D102" s="13">
        <f t="shared" si="21"/>
        <v>79991</v>
      </c>
      <c r="E102" s="14">
        <v>79003</v>
      </c>
      <c r="F102" s="14">
        <v>58122</v>
      </c>
      <c r="G102" s="14">
        <v>988</v>
      </c>
      <c r="H102" s="51">
        <f t="shared" si="22"/>
        <v>108475</v>
      </c>
      <c r="I102" s="49">
        <v>108475</v>
      </c>
      <c r="J102" s="49">
        <v>102530</v>
      </c>
      <c r="K102" s="14">
        <v>0</v>
      </c>
    </row>
    <row r="103" spans="1:11" ht="18" hidden="1" customHeight="1" x14ac:dyDescent="0.2">
      <c r="A103" s="77"/>
      <c r="B103" s="82"/>
      <c r="C103" s="25" t="s">
        <v>11</v>
      </c>
      <c r="D103" s="16"/>
      <c r="E103" s="16"/>
      <c r="F103" s="16"/>
      <c r="G103" s="16"/>
      <c r="H103" s="51">
        <f t="shared" ref="H103" si="24">I103+K103</f>
        <v>0</v>
      </c>
      <c r="I103" s="49"/>
      <c r="J103" s="49"/>
      <c r="K103" s="42">
        <v>0</v>
      </c>
    </row>
    <row r="104" spans="1:11" ht="18" customHeight="1" x14ac:dyDescent="0.2">
      <c r="A104" s="77"/>
      <c r="B104" s="82"/>
      <c r="C104" s="21" t="s">
        <v>5</v>
      </c>
      <c r="D104" s="13">
        <f>E104+G104</f>
        <v>31694</v>
      </c>
      <c r="E104" s="14">
        <v>31694</v>
      </c>
      <c r="F104" s="14"/>
      <c r="G104" s="14"/>
      <c r="H104" s="51">
        <f>I104+K104</f>
        <v>38240</v>
      </c>
      <c r="I104" s="49">
        <v>38240</v>
      </c>
      <c r="J104" s="50">
        <v>0</v>
      </c>
      <c r="K104" s="37">
        <v>0</v>
      </c>
    </row>
    <row r="105" spans="1:11" ht="14.25" hidden="1" customHeight="1" x14ac:dyDescent="0.2">
      <c r="A105" s="77"/>
      <c r="B105" s="83"/>
      <c r="C105" s="21" t="s">
        <v>5</v>
      </c>
      <c r="D105" s="26">
        <f>E105+G105</f>
        <v>0</v>
      </c>
      <c r="E105" s="14"/>
      <c r="F105" s="14"/>
      <c r="G105" s="14"/>
      <c r="H105" s="54">
        <f>I105+K105</f>
        <v>0</v>
      </c>
      <c r="I105" s="50"/>
      <c r="J105" s="50"/>
      <c r="K105" s="14"/>
    </row>
    <row r="106" spans="1:11" ht="30" customHeight="1" x14ac:dyDescent="0.2">
      <c r="A106" s="62">
        <v>4</v>
      </c>
      <c r="B106" s="63" t="s">
        <v>30</v>
      </c>
      <c r="C106" s="21" t="s">
        <v>8</v>
      </c>
      <c r="D106" s="11">
        <f>E106+G106</f>
        <v>495</v>
      </c>
      <c r="E106" s="12">
        <v>495</v>
      </c>
      <c r="F106" s="12">
        <v>6</v>
      </c>
      <c r="G106" s="12"/>
      <c r="H106" s="54">
        <f>I106+K106</f>
        <v>200</v>
      </c>
      <c r="I106" s="55">
        <v>200</v>
      </c>
      <c r="J106" s="55">
        <v>0</v>
      </c>
      <c r="K106" s="18">
        <v>0</v>
      </c>
    </row>
    <row r="107" spans="1:11" ht="30" customHeight="1" x14ac:dyDescent="0.2">
      <c r="A107" s="62">
        <v>5</v>
      </c>
      <c r="B107" s="63" t="s">
        <v>31</v>
      </c>
      <c r="C107" s="21" t="s">
        <v>8</v>
      </c>
      <c r="D107" s="11">
        <v>0</v>
      </c>
      <c r="E107" s="12">
        <v>0</v>
      </c>
      <c r="F107" s="12"/>
      <c r="G107" s="12"/>
      <c r="H107" s="52">
        <f>I107+K107</f>
        <v>950</v>
      </c>
      <c r="I107" s="53">
        <v>950</v>
      </c>
      <c r="J107" s="55">
        <v>0</v>
      </c>
      <c r="K107" s="18">
        <v>0</v>
      </c>
    </row>
    <row r="108" spans="1:11" ht="21" customHeight="1" x14ac:dyDescent="0.2">
      <c r="A108" s="75" t="s">
        <v>46</v>
      </c>
      <c r="B108" s="75"/>
      <c r="C108" s="76"/>
      <c r="D108" s="10">
        <f>E108+G108</f>
        <v>245839</v>
      </c>
      <c r="E108" s="10">
        <f>E110+E117+E118</f>
        <v>244179</v>
      </c>
      <c r="F108" s="10">
        <f>F110+F117+F118</f>
        <v>142173</v>
      </c>
      <c r="G108" s="10">
        <f>G110+G117+G118</f>
        <v>1660</v>
      </c>
      <c r="H108" s="48">
        <f>I108+K108</f>
        <v>343175</v>
      </c>
      <c r="I108" s="48">
        <f>I110+I117+I118</f>
        <v>343175</v>
      </c>
      <c r="J108" s="48">
        <f>J110+J117+J118</f>
        <v>258840</v>
      </c>
      <c r="K108" s="39">
        <f>K110+K117+K118</f>
        <v>0</v>
      </c>
    </row>
    <row r="109" spans="1:11" ht="15" hidden="1" customHeight="1" x14ac:dyDescent="0.2">
      <c r="A109" s="72"/>
      <c r="B109" s="72"/>
      <c r="C109" s="73"/>
      <c r="D109" s="27"/>
      <c r="E109" s="19"/>
      <c r="F109" s="19"/>
      <c r="G109" s="19"/>
      <c r="H109" s="52"/>
      <c r="I109" s="53"/>
      <c r="J109" s="53"/>
      <c r="K109" s="40"/>
    </row>
    <row r="110" spans="1:11" ht="18" customHeight="1" x14ac:dyDescent="0.2">
      <c r="A110" s="77">
        <v>1</v>
      </c>
      <c r="B110" s="74" t="s">
        <v>82</v>
      </c>
      <c r="C110" s="22"/>
      <c r="D110" s="12">
        <f t="shared" ref="D110:D119" si="25">E110+G110</f>
        <v>244602</v>
      </c>
      <c r="E110" s="12">
        <f>SUM(E111:E116)</f>
        <v>242942</v>
      </c>
      <c r="F110" s="12">
        <f>SUM(F111:F116)</f>
        <v>142167</v>
      </c>
      <c r="G110" s="12">
        <f>SUM(G111:G116)</f>
        <v>1660</v>
      </c>
      <c r="H110" s="53">
        <f t="shared" ref="H110:H119" si="26">I110+K110</f>
        <v>340475</v>
      </c>
      <c r="I110" s="53">
        <f>SUM(I111:I116)</f>
        <v>340475</v>
      </c>
      <c r="J110" s="53">
        <f>SUM(J111:J116)</f>
        <v>258840</v>
      </c>
      <c r="K110" s="40">
        <f>SUM(K111:K116)</f>
        <v>0</v>
      </c>
    </row>
    <row r="111" spans="1:11" ht="18" customHeight="1" x14ac:dyDescent="0.2">
      <c r="A111" s="77"/>
      <c r="B111" s="74"/>
      <c r="C111" s="21" t="s">
        <v>3</v>
      </c>
      <c r="D111" s="13">
        <f t="shared" si="25"/>
        <v>137480</v>
      </c>
      <c r="E111" s="14">
        <v>135820</v>
      </c>
      <c r="F111" s="14">
        <v>84857</v>
      </c>
      <c r="G111" s="14">
        <v>1660</v>
      </c>
      <c r="H111" s="51">
        <f t="shared" si="26"/>
        <v>192220</v>
      </c>
      <c r="I111" s="49">
        <v>192220</v>
      </c>
      <c r="J111" s="49">
        <v>153500</v>
      </c>
      <c r="K111" s="37">
        <v>0</v>
      </c>
    </row>
    <row r="112" spans="1:11" ht="18" hidden="1" customHeight="1" x14ac:dyDescent="0.2">
      <c r="A112" s="77"/>
      <c r="B112" s="74"/>
      <c r="C112" s="21" t="s">
        <v>4</v>
      </c>
      <c r="D112" s="13">
        <f t="shared" si="25"/>
        <v>0</v>
      </c>
      <c r="E112" s="14"/>
      <c r="F112" s="14"/>
      <c r="G112" s="14"/>
      <c r="H112" s="51">
        <f t="shared" si="26"/>
        <v>0</v>
      </c>
      <c r="I112" s="49"/>
      <c r="J112" s="49"/>
      <c r="K112" s="14"/>
    </row>
    <row r="113" spans="1:11" ht="18" customHeight="1" x14ac:dyDescent="0.2">
      <c r="A113" s="77"/>
      <c r="B113" s="74"/>
      <c r="C113" s="21" t="s">
        <v>10</v>
      </c>
      <c r="D113" s="13">
        <f t="shared" si="25"/>
        <v>78912</v>
      </c>
      <c r="E113" s="14">
        <v>78912</v>
      </c>
      <c r="F113" s="14">
        <v>57310</v>
      </c>
      <c r="G113" s="14"/>
      <c r="H113" s="51">
        <f t="shared" si="26"/>
        <v>111475</v>
      </c>
      <c r="I113" s="49">
        <v>111475</v>
      </c>
      <c r="J113" s="49">
        <v>105340</v>
      </c>
      <c r="K113" s="37">
        <v>0</v>
      </c>
    </row>
    <row r="114" spans="1:11" ht="18" hidden="1" customHeight="1" x14ac:dyDescent="0.2">
      <c r="A114" s="77"/>
      <c r="B114" s="74"/>
      <c r="C114" s="21" t="s">
        <v>11</v>
      </c>
      <c r="D114" s="13"/>
      <c r="E114" s="14"/>
      <c r="F114" s="14"/>
      <c r="G114" s="14"/>
      <c r="H114" s="51">
        <f t="shared" ref="H114" si="27">I114+K114</f>
        <v>0</v>
      </c>
      <c r="I114" s="49"/>
      <c r="J114" s="49"/>
      <c r="K114" s="14">
        <v>0</v>
      </c>
    </row>
    <row r="115" spans="1:11" ht="18" customHeight="1" x14ac:dyDescent="0.2">
      <c r="A115" s="77"/>
      <c r="B115" s="74"/>
      <c r="C115" s="21" t="s">
        <v>5</v>
      </c>
      <c r="D115" s="13">
        <f t="shared" si="25"/>
        <v>28210</v>
      </c>
      <c r="E115" s="14">
        <v>28210</v>
      </c>
      <c r="F115" s="14"/>
      <c r="G115" s="14"/>
      <c r="H115" s="51">
        <f t="shared" si="26"/>
        <v>36780</v>
      </c>
      <c r="I115" s="49">
        <v>36780</v>
      </c>
      <c r="J115" s="49">
        <v>0</v>
      </c>
      <c r="K115" s="14">
        <v>0</v>
      </c>
    </row>
    <row r="116" spans="1:11" ht="14.25" hidden="1" customHeight="1" x14ac:dyDescent="0.2">
      <c r="A116" s="77"/>
      <c r="B116" s="74"/>
      <c r="C116" s="21" t="s">
        <v>5</v>
      </c>
      <c r="D116" s="26">
        <f t="shared" si="25"/>
        <v>0</v>
      </c>
      <c r="E116" s="14"/>
      <c r="F116" s="14"/>
      <c r="G116" s="14"/>
      <c r="H116" s="52">
        <f t="shared" si="26"/>
        <v>0</v>
      </c>
      <c r="I116" s="49"/>
      <c r="J116" s="49"/>
      <c r="K116" s="14"/>
    </row>
    <row r="117" spans="1:11" ht="25.9" customHeight="1" x14ac:dyDescent="0.2">
      <c r="A117" s="62">
        <v>4</v>
      </c>
      <c r="B117" s="63" t="s">
        <v>30</v>
      </c>
      <c r="C117" s="21" t="s">
        <v>8</v>
      </c>
      <c r="D117" s="11">
        <f t="shared" si="25"/>
        <v>517</v>
      </c>
      <c r="E117" s="12">
        <v>517</v>
      </c>
      <c r="F117" s="12">
        <v>6</v>
      </c>
      <c r="G117" s="12"/>
      <c r="H117" s="52">
        <f t="shared" si="26"/>
        <v>200</v>
      </c>
      <c r="I117" s="53">
        <v>200</v>
      </c>
      <c r="J117" s="53">
        <v>0</v>
      </c>
      <c r="K117" s="18">
        <v>0</v>
      </c>
    </row>
    <row r="118" spans="1:11" ht="30" customHeight="1" x14ac:dyDescent="0.2">
      <c r="A118" s="62">
        <v>5</v>
      </c>
      <c r="B118" s="63" t="s">
        <v>31</v>
      </c>
      <c r="C118" s="21" t="s">
        <v>8</v>
      </c>
      <c r="D118" s="11">
        <f t="shared" si="25"/>
        <v>720</v>
      </c>
      <c r="E118" s="12">
        <v>720</v>
      </c>
      <c r="F118" s="12"/>
      <c r="G118" s="12"/>
      <c r="H118" s="52">
        <f t="shared" si="26"/>
        <v>2500</v>
      </c>
      <c r="I118" s="53">
        <v>2500</v>
      </c>
      <c r="J118" s="53">
        <v>0</v>
      </c>
      <c r="K118" s="18">
        <v>0</v>
      </c>
    </row>
    <row r="119" spans="1:11" ht="21.6" customHeight="1" x14ac:dyDescent="0.2">
      <c r="A119" s="75" t="s">
        <v>95</v>
      </c>
      <c r="B119" s="75"/>
      <c r="C119" s="76"/>
      <c r="D119" s="10">
        <f t="shared" si="25"/>
        <v>86268</v>
      </c>
      <c r="E119" s="10">
        <f>E121+E128+E129</f>
        <v>85733</v>
      </c>
      <c r="F119" s="10">
        <f>F121+F128+F129</f>
        <v>49894</v>
      </c>
      <c r="G119" s="10">
        <f>G121+G128+G129</f>
        <v>535</v>
      </c>
      <c r="H119" s="48">
        <f t="shared" si="26"/>
        <v>163080</v>
      </c>
      <c r="I119" s="48">
        <f>I121+I128+I129</f>
        <v>159935</v>
      </c>
      <c r="J119" s="48">
        <f>J121+J128+J129</f>
        <v>121875</v>
      </c>
      <c r="K119" s="39">
        <f>K121+K128+K129</f>
        <v>3145</v>
      </c>
    </row>
    <row r="120" spans="1:11" ht="15" hidden="1" customHeight="1" x14ac:dyDescent="0.2">
      <c r="A120" s="72"/>
      <c r="B120" s="72"/>
      <c r="C120" s="73"/>
      <c r="D120" s="11"/>
      <c r="E120" s="12"/>
      <c r="F120" s="12"/>
      <c r="G120" s="12"/>
      <c r="H120" s="52"/>
      <c r="I120" s="53"/>
      <c r="J120" s="53"/>
      <c r="K120" s="18"/>
    </row>
    <row r="121" spans="1:11" ht="18" customHeight="1" x14ac:dyDescent="0.2">
      <c r="A121" s="77">
        <v>1</v>
      </c>
      <c r="B121" s="74" t="s">
        <v>82</v>
      </c>
      <c r="C121" s="24"/>
      <c r="D121" s="12">
        <f t="shared" ref="D121:D130" si="28">E121+G121</f>
        <v>85240</v>
      </c>
      <c r="E121" s="12">
        <f>SUM(E122:E127)</f>
        <v>84705</v>
      </c>
      <c r="F121" s="12">
        <f>SUM(F122:F127)</f>
        <v>49889</v>
      </c>
      <c r="G121" s="12">
        <f>SUM(G122:G127)</f>
        <v>535</v>
      </c>
      <c r="H121" s="53">
        <f t="shared" ref="H121:H130" si="29">I121+K121</f>
        <v>161130</v>
      </c>
      <c r="I121" s="53">
        <f>SUM(I122:I127)</f>
        <v>157985</v>
      </c>
      <c r="J121" s="53">
        <f>SUM(J122:J127)</f>
        <v>121875</v>
      </c>
      <c r="K121" s="40">
        <f>SUM(K122:K127)</f>
        <v>3145</v>
      </c>
    </row>
    <row r="122" spans="1:11" ht="18" customHeight="1" x14ac:dyDescent="0.2">
      <c r="A122" s="77"/>
      <c r="B122" s="74"/>
      <c r="C122" s="21" t="s">
        <v>3</v>
      </c>
      <c r="D122" s="13">
        <f t="shared" si="28"/>
        <v>43925</v>
      </c>
      <c r="E122" s="14">
        <v>43925</v>
      </c>
      <c r="F122" s="14">
        <v>26645</v>
      </c>
      <c r="G122" s="14"/>
      <c r="H122" s="51">
        <f t="shared" si="29"/>
        <v>87395</v>
      </c>
      <c r="I122" s="49">
        <v>84250</v>
      </c>
      <c r="J122" s="49">
        <v>68280</v>
      </c>
      <c r="K122" s="37">
        <v>3145</v>
      </c>
    </row>
    <row r="123" spans="1:11" ht="18" hidden="1" customHeight="1" x14ac:dyDescent="0.2">
      <c r="A123" s="77"/>
      <c r="B123" s="74"/>
      <c r="C123" s="21" t="s">
        <v>4</v>
      </c>
      <c r="D123" s="13">
        <f t="shared" si="28"/>
        <v>0</v>
      </c>
      <c r="E123" s="14"/>
      <c r="F123" s="14"/>
      <c r="G123" s="14"/>
      <c r="H123" s="51">
        <f t="shared" si="29"/>
        <v>0</v>
      </c>
      <c r="I123" s="49"/>
      <c r="J123" s="49"/>
      <c r="K123" s="14"/>
    </row>
    <row r="124" spans="1:11" ht="18" customHeight="1" x14ac:dyDescent="0.2">
      <c r="A124" s="77"/>
      <c r="B124" s="74"/>
      <c r="C124" s="21" t="s">
        <v>10</v>
      </c>
      <c r="D124" s="13">
        <f t="shared" si="28"/>
        <v>32029</v>
      </c>
      <c r="E124" s="14">
        <v>31494</v>
      </c>
      <c r="F124" s="14">
        <v>23244</v>
      </c>
      <c r="G124" s="14">
        <v>535</v>
      </c>
      <c r="H124" s="51">
        <f t="shared" si="29"/>
        <v>56635</v>
      </c>
      <c r="I124" s="49">
        <v>56635</v>
      </c>
      <c r="J124" s="49">
        <v>53595</v>
      </c>
      <c r="K124" s="14">
        <v>0</v>
      </c>
    </row>
    <row r="125" spans="1:11" ht="18" hidden="1" customHeight="1" x14ac:dyDescent="0.2">
      <c r="A125" s="77"/>
      <c r="B125" s="74"/>
      <c r="C125" s="21" t="s">
        <v>11</v>
      </c>
      <c r="D125" s="13"/>
      <c r="E125" s="14"/>
      <c r="F125" s="14"/>
      <c r="G125" s="14"/>
      <c r="H125" s="51">
        <f t="shared" ref="H125" si="30">I125+K125</f>
        <v>0</v>
      </c>
      <c r="I125" s="49"/>
      <c r="J125" s="49"/>
      <c r="K125" s="14">
        <v>0</v>
      </c>
    </row>
    <row r="126" spans="1:11" ht="18" customHeight="1" x14ac:dyDescent="0.2">
      <c r="A126" s="77"/>
      <c r="B126" s="74"/>
      <c r="C126" s="21" t="s">
        <v>5</v>
      </c>
      <c r="D126" s="13">
        <f t="shared" si="28"/>
        <v>9286</v>
      </c>
      <c r="E126" s="14">
        <v>9286</v>
      </c>
      <c r="F126" s="14"/>
      <c r="G126" s="14"/>
      <c r="H126" s="51">
        <f t="shared" si="29"/>
        <v>17100</v>
      </c>
      <c r="I126" s="49">
        <v>17100</v>
      </c>
      <c r="J126" s="49">
        <v>0</v>
      </c>
      <c r="K126" s="14">
        <v>0</v>
      </c>
    </row>
    <row r="127" spans="1:11" ht="14.25" hidden="1" customHeight="1" x14ac:dyDescent="0.2">
      <c r="A127" s="77"/>
      <c r="B127" s="74"/>
      <c r="C127" s="21" t="s">
        <v>5</v>
      </c>
      <c r="D127" s="26">
        <f t="shared" si="28"/>
        <v>0</v>
      </c>
      <c r="E127" s="14"/>
      <c r="F127" s="14"/>
      <c r="G127" s="14"/>
      <c r="H127" s="54">
        <f t="shared" si="29"/>
        <v>0</v>
      </c>
      <c r="I127" s="50"/>
      <c r="J127" s="50"/>
      <c r="K127" s="14"/>
    </row>
    <row r="128" spans="1:11" ht="25.9" customHeight="1" x14ac:dyDescent="0.2">
      <c r="A128" s="62">
        <v>4</v>
      </c>
      <c r="B128" s="63" t="s">
        <v>30</v>
      </c>
      <c r="C128" s="21" t="s">
        <v>8</v>
      </c>
      <c r="D128" s="11">
        <f t="shared" si="28"/>
        <v>313</v>
      </c>
      <c r="E128" s="12">
        <v>313</v>
      </c>
      <c r="F128" s="12">
        <v>5</v>
      </c>
      <c r="G128" s="12"/>
      <c r="H128" s="52">
        <f t="shared" si="29"/>
        <v>700</v>
      </c>
      <c r="I128" s="53">
        <v>700</v>
      </c>
      <c r="J128" s="55">
        <v>0</v>
      </c>
      <c r="K128" s="18">
        <v>0</v>
      </c>
    </row>
    <row r="129" spans="1:11" ht="30" customHeight="1" x14ac:dyDescent="0.2">
      <c r="A129" s="62">
        <v>5</v>
      </c>
      <c r="B129" s="63" t="s">
        <v>31</v>
      </c>
      <c r="C129" s="21" t="s">
        <v>8</v>
      </c>
      <c r="D129" s="11">
        <f t="shared" si="28"/>
        <v>715</v>
      </c>
      <c r="E129" s="12">
        <v>715</v>
      </c>
      <c r="F129" s="12"/>
      <c r="G129" s="12"/>
      <c r="H129" s="52">
        <f t="shared" si="29"/>
        <v>1250</v>
      </c>
      <c r="I129" s="53">
        <v>1250</v>
      </c>
      <c r="J129" s="55">
        <v>0</v>
      </c>
      <c r="K129" s="18">
        <v>0</v>
      </c>
    </row>
    <row r="130" spans="1:11" ht="22.9" customHeight="1" x14ac:dyDescent="0.2">
      <c r="A130" s="75" t="s">
        <v>14</v>
      </c>
      <c r="B130" s="75"/>
      <c r="C130" s="76"/>
      <c r="D130" s="10">
        <f t="shared" si="28"/>
        <v>1100651</v>
      </c>
      <c r="E130" s="10">
        <f>E132+E138+E141</f>
        <v>1100651</v>
      </c>
      <c r="F130" s="10">
        <f>F132+F138+F141</f>
        <v>706874</v>
      </c>
      <c r="G130" s="10">
        <f>G132+G138+G141</f>
        <v>0</v>
      </c>
      <c r="H130" s="48">
        <f t="shared" si="29"/>
        <v>944601</v>
      </c>
      <c r="I130" s="48">
        <f>I132+I138+I141</f>
        <v>944601</v>
      </c>
      <c r="J130" s="48">
        <f>J132+J138+J141</f>
        <v>813796</v>
      </c>
      <c r="K130" s="39">
        <f>K132+K138+K141</f>
        <v>0</v>
      </c>
    </row>
    <row r="131" spans="1:11" ht="14.25" hidden="1" customHeight="1" x14ac:dyDescent="0.2">
      <c r="A131" s="72"/>
      <c r="B131" s="72"/>
      <c r="C131" s="73"/>
      <c r="D131" s="11"/>
      <c r="E131" s="12"/>
      <c r="F131" s="12"/>
      <c r="G131" s="12"/>
      <c r="H131" s="52"/>
      <c r="I131" s="53"/>
      <c r="J131" s="53"/>
      <c r="K131" s="40"/>
    </row>
    <row r="132" spans="1:11" ht="18" customHeight="1" x14ac:dyDescent="0.2">
      <c r="A132" s="77">
        <v>1</v>
      </c>
      <c r="B132" s="74" t="s">
        <v>82</v>
      </c>
      <c r="C132" s="24"/>
      <c r="D132" s="12">
        <f t="shared" ref="D132:D141" si="31">E132+G132</f>
        <v>1070484</v>
      </c>
      <c r="E132" s="12">
        <f>SUM(E133:E137)</f>
        <v>1070484</v>
      </c>
      <c r="F132" s="12">
        <f>SUM(F133:F137)</f>
        <v>706113</v>
      </c>
      <c r="G132" s="12">
        <f>SUM(G133:G137)</f>
        <v>0</v>
      </c>
      <c r="H132" s="53">
        <f t="shared" ref="H132:H141" si="32">I132+K132</f>
        <v>942101</v>
      </c>
      <c r="I132" s="53">
        <f>SUM(I133:I137)</f>
        <v>942101</v>
      </c>
      <c r="J132" s="53">
        <f>SUM(J133:J137)</f>
        <v>813796</v>
      </c>
      <c r="K132" s="40">
        <f>SUM(K133:K137)</f>
        <v>0</v>
      </c>
    </row>
    <row r="133" spans="1:11" ht="18" customHeight="1" x14ac:dyDescent="0.2">
      <c r="A133" s="77"/>
      <c r="B133" s="74"/>
      <c r="C133" s="21" t="s">
        <v>3</v>
      </c>
      <c r="D133" s="13">
        <f t="shared" si="31"/>
        <v>265448</v>
      </c>
      <c r="E133" s="14">
        <v>265448</v>
      </c>
      <c r="F133" s="14">
        <v>124247</v>
      </c>
      <c r="G133" s="14"/>
      <c r="H133" s="51">
        <f t="shared" si="32"/>
        <v>288810</v>
      </c>
      <c r="I133" s="49">
        <v>288810</v>
      </c>
      <c r="J133" s="49">
        <v>190500</v>
      </c>
      <c r="K133" s="37">
        <f>3500-3500</f>
        <v>0</v>
      </c>
    </row>
    <row r="134" spans="1:11" ht="18" hidden="1" customHeight="1" x14ac:dyDescent="0.2">
      <c r="A134" s="77"/>
      <c r="B134" s="74"/>
      <c r="C134" s="21" t="s">
        <v>4</v>
      </c>
      <c r="D134" s="13">
        <f t="shared" si="31"/>
        <v>0</v>
      </c>
      <c r="E134" s="14"/>
      <c r="F134" s="14"/>
      <c r="G134" s="14"/>
      <c r="H134" s="51">
        <f t="shared" si="32"/>
        <v>0</v>
      </c>
      <c r="I134" s="49"/>
      <c r="J134" s="49"/>
      <c r="K134" s="37"/>
    </row>
    <row r="135" spans="1:11" ht="18" customHeight="1" x14ac:dyDescent="0.2">
      <c r="A135" s="77"/>
      <c r="B135" s="74"/>
      <c r="C135" s="21" t="s">
        <v>10</v>
      </c>
      <c r="D135" s="13">
        <f t="shared" si="31"/>
        <v>778682</v>
      </c>
      <c r="E135" s="14">
        <v>778682</v>
      </c>
      <c r="F135" s="14">
        <v>581866</v>
      </c>
      <c r="G135" s="14"/>
      <c r="H135" s="51">
        <f t="shared" si="32"/>
        <v>647935</v>
      </c>
      <c r="I135" s="49">
        <v>647935</v>
      </c>
      <c r="J135" s="49">
        <v>622416</v>
      </c>
      <c r="K135" s="37">
        <v>0</v>
      </c>
    </row>
    <row r="136" spans="1:11" ht="18" hidden="1" customHeight="1" x14ac:dyDescent="0.2">
      <c r="A136" s="77"/>
      <c r="B136" s="74"/>
      <c r="C136" s="21" t="s">
        <v>11</v>
      </c>
      <c r="D136" s="13">
        <f t="shared" si="31"/>
        <v>0</v>
      </c>
      <c r="E136" s="14"/>
      <c r="F136" s="14"/>
      <c r="G136" s="14"/>
      <c r="H136" s="51">
        <f t="shared" si="32"/>
        <v>0</v>
      </c>
      <c r="I136" s="49"/>
      <c r="J136" s="49"/>
      <c r="K136" s="37">
        <v>0</v>
      </c>
    </row>
    <row r="137" spans="1:11" ht="18" customHeight="1" x14ac:dyDescent="0.2">
      <c r="A137" s="77"/>
      <c r="B137" s="74"/>
      <c r="C137" s="21" t="s">
        <v>5</v>
      </c>
      <c r="D137" s="13">
        <f t="shared" si="31"/>
        <v>26354</v>
      </c>
      <c r="E137" s="14">
        <v>26354</v>
      </c>
      <c r="F137" s="14"/>
      <c r="G137" s="14"/>
      <c r="H137" s="51">
        <f t="shared" si="32"/>
        <v>5356</v>
      </c>
      <c r="I137" s="49">
        <v>5356</v>
      </c>
      <c r="J137" s="49">
        <v>880</v>
      </c>
      <c r="K137" s="37">
        <v>0</v>
      </c>
    </row>
    <row r="138" spans="1:11" ht="18" hidden="1" customHeight="1" x14ac:dyDescent="0.2">
      <c r="A138" s="77">
        <v>4</v>
      </c>
      <c r="B138" s="74" t="s">
        <v>30</v>
      </c>
      <c r="C138" s="22"/>
      <c r="D138" s="12">
        <f t="shared" si="31"/>
        <v>27287</v>
      </c>
      <c r="E138" s="12">
        <f>SUM(E139:E140)</f>
        <v>27287</v>
      </c>
      <c r="F138" s="12">
        <f>SUM(F139:F140)</f>
        <v>761</v>
      </c>
      <c r="G138" s="12">
        <f>SUM(G139:G140)</f>
        <v>0</v>
      </c>
      <c r="H138" s="53">
        <f t="shared" si="32"/>
        <v>0</v>
      </c>
      <c r="I138" s="53">
        <f>+I139+I140</f>
        <v>0</v>
      </c>
      <c r="J138" s="53">
        <v>0</v>
      </c>
      <c r="K138" s="40">
        <v>0</v>
      </c>
    </row>
    <row r="139" spans="1:11" ht="18" hidden="1" customHeight="1" x14ac:dyDescent="0.2">
      <c r="A139" s="77"/>
      <c r="B139" s="74"/>
      <c r="C139" s="21" t="s">
        <v>8</v>
      </c>
      <c r="D139" s="13">
        <f t="shared" si="31"/>
        <v>27252</v>
      </c>
      <c r="E139" s="14">
        <v>27252</v>
      </c>
      <c r="F139" s="14">
        <v>761</v>
      </c>
      <c r="G139" s="14"/>
      <c r="H139" s="51">
        <f t="shared" si="32"/>
        <v>0</v>
      </c>
      <c r="I139" s="49"/>
      <c r="J139" s="49">
        <v>0</v>
      </c>
      <c r="K139" s="37">
        <v>0</v>
      </c>
    </row>
    <row r="140" spans="1:11" ht="18" hidden="1" customHeight="1" x14ac:dyDescent="0.2">
      <c r="A140" s="77"/>
      <c r="B140" s="74"/>
      <c r="C140" s="21" t="s">
        <v>3</v>
      </c>
      <c r="D140" s="13">
        <f t="shared" si="31"/>
        <v>35</v>
      </c>
      <c r="E140" s="14">
        <v>35</v>
      </c>
      <c r="F140" s="14"/>
      <c r="G140" s="14"/>
      <c r="H140" s="51">
        <f t="shared" si="32"/>
        <v>0</v>
      </c>
      <c r="I140" s="49"/>
      <c r="J140" s="49">
        <v>0</v>
      </c>
      <c r="K140" s="37">
        <v>0</v>
      </c>
    </row>
    <row r="141" spans="1:11" ht="30" customHeight="1" x14ac:dyDescent="0.2">
      <c r="A141" s="62">
        <v>5</v>
      </c>
      <c r="B141" s="63" t="s">
        <v>31</v>
      </c>
      <c r="C141" s="21" t="s">
        <v>8</v>
      </c>
      <c r="D141" s="11">
        <f t="shared" si="31"/>
        <v>2880</v>
      </c>
      <c r="E141" s="12">
        <v>2880</v>
      </c>
      <c r="F141" s="12"/>
      <c r="G141" s="12"/>
      <c r="H141" s="52">
        <f t="shared" si="32"/>
        <v>2500</v>
      </c>
      <c r="I141" s="53">
        <v>2500</v>
      </c>
      <c r="J141" s="53">
        <v>0</v>
      </c>
      <c r="K141" s="40">
        <v>0</v>
      </c>
    </row>
    <row r="142" spans="1:11" ht="23.45" customHeight="1" x14ac:dyDescent="0.2">
      <c r="A142" s="75" t="s">
        <v>15</v>
      </c>
      <c r="B142" s="75"/>
      <c r="C142" s="76"/>
      <c r="D142" s="10">
        <f>E142+G142</f>
        <v>893267</v>
      </c>
      <c r="E142" s="10">
        <f>E144+E150+E154</f>
        <v>892340</v>
      </c>
      <c r="F142" s="10">
        <f>F144+F150+F154</f>
        <v>571784</v>
      </c>
      <c r="G142" s="10">
        <f>G144+G150+G154</f>
        <v>927</v>
      </c>
      <c r="H142" s="48">
        <f>I142+K142</f>
        <v>1310147</v>
      </c>
      <c r="I142" s="48">
        <f>I144+I150+I154</f>
        <v>1310147</v>
      </c>
      <c r="J142" s="48">
        <f>J144+J150+J154</f>
        <v>1141510</v>
      </c>
      <c r="K142" s="39">
        <f>K144+K150+K154</f>
        <v>0</v>
      </c>
    </row>
    <row r="143" spans="1:11" ht="15" hidden="1" customHeight="1" thickBot="1" x14ac:dyDescent="0.25">
      <c r="A143" s="72"/>
      <c r="B143" s="72"/>
      <c r="C143" s="73"/>
      <c r="D143" s="11"/>
      <c r="E143" s="12"/>
      <c r="F143" s="12"/>
      <c r="G143" s="12"/>
      <c r="H143" s="54"/>
      <c r="I143" s="55"/>
      <c r="J143" s="55"/>
      <c r="K143" s="18"/>
    </row>
    <row r="144" spans="1:11" ht="18" customHeight="1" x14ac:dyDescent="0.2">
      <c r="A144" s="77">
        <v>1</v>
      </c>
      <c r="B144" s="74" t="s">
        <v>82</v>
      </c>
      <c r="C144" s="25"/>
      <c r="D144" s="12">
        <f t="shared" ref="D144:D155" si="33">E144+G144</f>
        <v>858721</v>
      </c>
      <c r="E144" s="12">
        <f>SUM(E145:E149)</f>
        <v>857794</v>
      </c>
      <c r="F144" s="12">
        <f>SUM(F145:F149)</f>
        <v>570928</v>
      </c>
      <c r="G144" s="12">
        <f>SUM(G145:G149)</f>
        <v>927</v>
      </c>
      <c r="H144" s="53">
        <f t="shared" ref="H144:H155" si="34">I144+K144</f>
        <v>1303860</v>
      </c>
      <c r="I144" s="53">
        <f>SUM(I145:I149)</f>
        <v>1303860</v>
      </c>
      <c r="J144" s="53">
        <f>SUM(J145:J149)</f>
        <v>1141510</v>
      </c>
      <c r="K144" s="40">
        <f>SUM(K145:K149)</f>
        <v>0</v>
      </c>
    </row>
    <row r="145" spans="1:11" ht="18" customHeight="1" x14ac:dyDescent="0.2">
      <c r="A145" s="77"/>
      <c r="B145" s="74"/>
      <c r="C145" s="21" t="s">
        <v>3</v>
      </c>
      <c r="D145" s="13">
        <f t="shared" si="33"/>
        <v>226490</v>
      </c>
      <c r="E145" s="14">
        <v>226490</v>
      </c>
      <c r="F145" s="14">
        <v>129227</v>
      </c>
      <c r="G145" s="14"/>
      <c r="H145" s="51">
        <f t="shared" si="34"/>
        <v>355851</v>
      </c>
      <c r="I145" s="49">
        <v>355851</v>
      </c>
      <c r="J145" s="49">
        <v>246632</v>
      </c>
      <c r="K145" s="37">
        <v>0</v>
      </c>
    </row>
    <row r="146" spans="1:11" ht="18" hidden="1" customHeight="1" x14ac:dyDescent="0.2">
      <c r="A146" s="77"/>
      <c r="B146" s="74"/>
      <c r="C146" s="21" t="s">
        <v>4</v>
      </c>
      <c r="D146" s="13">
        <f t="shared" si="33"/>
        <v>0</v>
      </c>
      <c r="E146" s="14"/>
      <c r="F146" s="14"/>
      <c r="G146" s="14"/>
      <c r="H146" s="51">
        <f t="shared" si="34"/>
        <v>0</v>
      </c>
      <c r="I146" s="49"/>
      <c r="J146" s="49"/>
      <c r="K146" s="37"/>
    </row>
    <row r="147" spans="1:11" ht="18" customHeight="1" x14ac:dyDescent="0.2">
      <c r="A147" s="77"/>
      <c r="B147" s="74"/>
      <c r="C147" s="21" t="s">
        <v>10</v>
      </c>
      <c r="D147" s="13">
        <f t="shared" si="33"/>
        <v>595815</v>
      </c>
      <c r="E147" s="14">
        <v>594888</v>
      </c>
      <c r="F147" s="14">
        <v>441701</v>
      </c>
      <c r="G147" s="14">
        <v>927</v>
      </c>
      <c r="H147" s="51">
        <f t="shared" si="34"/>
        <v>935487</v>
      </c>
      <c r="I147" s="49">
        <v>935487</v>
      </c>
      <c r="J147" s="49">
        <v>893268</v>
      </c>
      <c r="K147" s="37">
        <v>0</v>
      </c>
    </row>
    <row r="148" spans="1:11" ht="18" hidden="1" customHeight="1" x14ac:dyDescent="0.2">
      <c r="A148" s="77"/>
      <c r="B148" s="74"/>
      <c r="C148" s="21" t="s">
        <v>11</v>
      </c>
      <c r="D148" s="13">
        <f t="shared" si="33"/>
        <v>0</v>
      </c>
      <c r="E148" s="14"/>
      <c r="F148" s="14"/>
      <c r="G148" s="14"/>
      <c r="H148" s="51">
        <f t="shared" ref="H148" si="35">I148+K148</f>
        <v>0</v>
      </c>
      <c r="I148" s="49"/>
      <c r="J148" s="49"/>
      <c r="K148" s="37">
        <v>0</v>
      </c>
    </row>
    <row r="149" spans="1:11" ht="18" customHeight="1" x14ac:dyDescent="0.2">
      <c r="A149" s="77"/>
      <c r="B149" s="74"/>
      <c r="C149" s="21" t="s">
        <v>5</v>
      </c>
      <c r="D149" s="13">
        <f t="shared" si="33"/>
        <v>36416</v>
      </c>
      <c r="E149" s="14">
        <v>36416</v>
      </c>
      <c r="F149" s="14"/>
      <c r="G149" s="14"/>
      <c r="H149" s="51">
        <f t="shared" si="34"/>
        <v>12522</v>
      </c>
      <c r="I149" s="49">
        <v>12522</v>
      </c>
      <c r="J149" s="49">
        <v>1610</v>
      </c>
      <c r="K149" s="37">
        <v>0</v>
      </c>
    </row>
    <row r="150" spans="1:11" ht="18" hidden="1" customHeight="1" x14ac:dyDescent="0.2">
      <c r="A150" s="77">
        <v>4</v>
      </c>
      <c r="B150" s="74" t="s">
        <v>30</v>
      </c>
      <c r="C150" s="22"/>
      <c r="D150" s="12">
        <f t="shared" si="33"/>
        <v>31654</v>
      </c>
      <c r="E150" s="12">
        <f>SUM(E151:E153)</f>
        <v>31654</v>
      </c>
      <c r="F150" s="12">
        <f>SUM(F151:F153)</f>
        <v>856</v>
      </c>
      <c r="G150" s="12">
        <f>SUM(G151:G153)</f>
        <v>0</v>
      </c>
      <c r="H150" s="53">
        <f t="shared" si="34"/>
        <v>0</v>
      </c>
      <c r="I150" s="53">
        <f>SUM(I151:I153)</f>
        <v>0</v>
      </c>
      <c r="J150" s="53">
        <f>SUM(J151:J153)</f>
        <v>0</v>
      </c>
      <c r="K150" s="40">
        <f>SUM(K151:K153)</f>
        <v>0</v>
      </c>
    </row>
    <row r="151" spans="1:11" ht="19.899999999999999" hidden="1" customHeight="1" x14ac:dyDescent="0.2">
      <c r="A151" s="77"/>
      <c r="B151" s="74"/>
      <c r="C151" s="21" t="s">
        <v>8</v>
      </c>
      <c r="D151" s="13">
        <f t="shared" si="33"/>
        <v>30494</v>
      </c>
      <c r="E151" s="14">
        <v>30494</v>
      </c>
      <c r="F151" s="14">
        <v>856</v>
      </c>
      <c r="G151" s="14"/>
      <c r="H151" s="51">
        <f t="shared" si="34"/>
        <v>0</v>
      </c>
      <c r="I151" s="49"/>
      <c r="J151" s="49">
        <v>0</v>
      </c>
      <c r="K151" s="37">
        <v>0</v>
      </c>
    </row>
    <row r="152" spans="1:11" ht="18" hidden="1" customHeight="1" x14ac:dyDescent="0.2">
      <c r="A152" s="77"/>
      <c r="B152" s="74"/>
      <c r="C152" s="21" t="s">
        <v>6</v>
      </c>
      <c r="D152" s="13">
        <f t="shared" si="33"/>
        <v>1160</v>
      </c>
      <c r="E152" s="14">
        <v>1160</v>
      </c>
      <c r="F152" s="14"/>
      <c r="G152" s="14"/>
      <c r="H152" s="51">
        <f t="shared" si="34"/>
        <v>0</v>
      </c>
      <c r="I152" s="49"/>
      <c r="J152" s="49"/>
      <c r="K152" s="37"/>
    </row>
    <row r="153" spans="1:11" ht="18" hidden="1" customHeight="1" x14ac:dyDescent="0.2">
      <c r="A153" s="77"/>
      <c r="B153" s="74"/>
      <c r="C153" s="21" t="s">
        <v>3</v>
      </c>
      <c r="D153" s="13">
        <f t="shared" si="33"/>
        <v>0</v>
      </c>
      <c r="E153" s="14"/>
      <c r="F153" s="14"/>
      <c r="G153" s="14"/>
      <c r="H153" s="51">
        <f t="shared" si="34"/>
        <v>0</v>
      </c>
      <c r="I153" s="49"/>
      <c r="J153" s="49">
        <v>0</v>
      </c>
      <c r="K153" s="37">
        <v>0</v>
      </c>
    </row>
    <row r="154" spans="1:11" ht="30" customHeight="1" x14ac:dyDescent="0.2">
      <c r="A154" s="62">
        <v>5</v>
      </c>
      <c r="B154" s="63" t="s">
        <v>31</v>
      </c>
      <c r="C154" s="62" t="s">
        <v>8</v>
      </c>
      <c r="D154" s="11">
        <f t="shared" si="33"/>
        <v>2892</v>
      </c>
      <c r="E154" s="12">
        <v>2892</v>
      </c>
      <c r="F154" s="12"/>
      <c r="G154" s="12"/>
      <c r="H154" s="52">
        <f t="shared" si="34"/>
        <v>6287</v>
      </c>
      <c r="I154" s="53">
        <v>6287</v>
      </c>
      <c r="J154" s="53">
        <v>0</v>
      </c>
      <c r="K154" s="40">
        <v>0</v>
      </c>
    </row>
    <row r="155" spans="1:11" ht="25.15" customHeight="1" x14ac:dyDescent="0.2">
      <c r="A155" s="75" t="s">
        <v>16</v>
      </c>
      <c r="B155" s="75"/>
      <c r="C155" s="76"/>
      <c r="D155" s="10">
        <f t="shared" si="33"/>
        <v>371283</v>
      </c>
      <c r="E155" s="10">
        <f>E157+E163+E166</f>
        <v>367658</v>
      </c>
      <c r="F155" s="10">
        <f>F157+F163+F166</f>
        <v>235691</v>
      </c>
      <c r="G155" s="10">
        <f>G157+G163+G166</f>
        <v>3625</v>
      </c>
      <c r="H155" s="48">
        <f t="shared" si="34"/>
        <v>354290</v>
      </c>
      <c r="I155" s="48">
        <f>I157+I163+I166</f>
        <v>354290</v>
      </c>
      <c r="J155" s="48">
        <f>J157+J163+J166</f>
        <v>309199</v>
      </c>
      <c r="K155" s="39">
        <f>K157+K163+K166</f>
        <v>0</v>
      </c>
    </row>
    <row r="156" spans="1:11" ht="15" hidden="1" customHeight="1" thickBot="1" x14ac:dyDescent="0.25">
      <c r="A156" s="72"/>
      <c r="B156" s="72"/>
      <c r="C156" s="73"/>
      <c r="D156" s="11"/>
      <c r="E156" s="12"/>
      <c r="F156" s="12"/>
      <c r="G156" s="12"/>
      <c r="H156" s="52"/>
      <c r="I156" s="53"/>
      <c r="J156" s="53"/>
      <c r="K156" s="40"/>
    </row>
    <row r="157" spans="1:11" ht="19.899999999999999" customHeight="1" x14ac:dyDescent="0.2">
      <c r="A157" s="77">
        <v>1</v>
      </c>
      <c r="B157" s="74" t="s">
        <v>82</v>
      </c>
      <c r="C157" s="25"/>
      <c r="D157" s="12">
        <f t="shared" ref="D157:D167" si="36">E157+G157</f>
        <v>352676</v>
      </c>
      <c r="E157" s="12">
        <f>SUM(E158:E162)</f>
        <v>349051</v>
      </c>
      <c r="F157" s="12">
        <f>SUM(F158:F162)</f>
        <v>235196</v>
      </c>
      <c r="G157" s="12">
        <f>SUM(G158:G162)</f>
        <v>3625</v>
      </c>
      <c r="H157" s="53">
        <f t="shared" ref="H157:H167" si="37">I157+K157</f>
        <v>351790</v>
      </c>
      <c r="I157" s="53">
        <f>SUM(I158:I162)</f>
        <v>351790</v>
      </c>
      <c r="J157" s="53">
        <f>SUM(J158:J162)</f>
        <v>309199</v>
      </c>
      <c r="K157" s="40">
        <f>SUM(K158:K162)</f>
        <v>0</v>
      </c>
    </row>
    <row r="158" spans="1:11" ht="19.899999999999999" customHeight="1" x14ac:dyDescent="0.2">
      <c r="A158" s="77"/>
      <c r="B158" s="74"/>
      <c r="C158" s="21" t="s">
        <v>3</v>
      </c>
      <c r="D158" s="13">
        <f t="shared" si="36"/>
        <v>120247</v>
      </c>
      <c r="E158" s="14">
        <v>120247</v>
      </c>
      <c r="F158" s="14">
        <v>65926</v>
      </c>
      <c r="G158" s="14"/>
      <c r="H158" s="51">
        <f t="shared" si="37"/>
        <v>144350</v>
      </c>
      <c r="I158" s="49">
        <v>144350</v>
      </c>
      <c r="J158" s="49">
        <v>108700</v>
      </c>
      <c r="K158" s="37">
        <v>0</v>
      </c>
    </row>
    <row r="159" spans="1:11" ht="19.899999999999999" hidden="1" customHeight="1" x14ac:dyDescent="0.2">
      <c r="A159" s="77"/>
      <c r="B159" s="74"/>
      <c r="C159" s="21" t="s">
        <v>4</v>
      </c>
      <c r="D159" s="13">
        <f t="shared" si="36"/>
        <v>0</v>
      </c>
      <c r="E159" s="14"/>
      <c r="F159" s="14"/>
      <c r="G159" s="14"/>
      <c r="H159" s="51">
        <f t="shared" si="37"/>
        <v>0</v>
      </c>
      <c r="I159" s="49"/>
      <c r="J159" s="49"/>
      <c r="K159" s="37"/>
    </row>
    <row r="160" spans="1:11" ht="19.899999999999999" customHeight="1" x14ac:dyDescent="0.2">
      <c r="A160" s="77"/>
      <c r="B160" s="74"/>
      <c r="C160" s="21" t="s">
        <v>10</v>
      </c>
      <c r="D160" s="13">
        <f t="shared" si="36"/>
        <v>227026</v>
      </c>
      <c r="E160" s="14">
        <v>223401</v>
      </c>
      <c r="F160" s="14">
        <v>169270</v>
      </c>
      <c r="G160" s="14">
        <v>3625</v>
      </c>
      <c r="H160" s="51">
        <f t="shared" si="37"/>
        <v>206290</v>
      </c>
      <c r="I160" s="49">
        <v>206290</v>
      </c>
      <c r="J160" s="49">
        <v>200289</v>
      </c>
      <c r="K160" s="37">
        <v>0</v>
      </c>
    </row>
    <row r="161" spans="1:11" ht="19.899999999999999" hidden="1" customHeight="1" x14ac:dyDescent="0.2">
      <c r="A161" s="77"/>
      <c r="B161" s="74"/>
      <c r="C161" s="21" t="s">
        <v>11</v>
      </c>
      <c r="D161" s="13">
        <f t="shared" si="36"/>
        <v>0</v>
      </c>
      <c r="E161" s="14"/>
      <c r="F161" s="14"/>
      <c r="G161" s="14"/>
      <c r="H161" s="51">
        <f t="shared" si="37"/>
        <v>0</v>
      </c>
      <c r="I161" s="49"/>
      <c r="J161" s="49"/>
      <c r="K161" s="37">
        <v>0</v>
      </c>
    </row>
    <row r="162" spans="1:11" ht="19.899999999999999" customHeight="1" x14ac:dyDescent="0.2">
      <c r="A162" s="77"/>
      <c r="B162" s="74"/>
      <c r="C162" s="21" t="s">
        <v>5</v>
      </c>
      <c r="D162" s="13">
        <f t="shared" si="36"/>
        <v>5403</v>
      </c>
      <c r="E162" s="14">
        <v>5403</v>
      </c>
      <c r="F162" s="14"/>
      <c r="G162" s="14"/>
      <c r="H162" s="51">
        <f t="shared" si="37"/>
        <v>1150</v>
      </c>
      <c r="I162" s="49">
        <v>1150</v>
      </c>
      <c r="J162" s="49">
        <v>210</v>
      </c>
      <c r="K162" s="37">
        <v>0</v>
      </c>
    </row>
    <row r="163" spans="1:11" ht="18" hidden="1" customHeight="1" x14ac:dyDescent="0.2">
      <c r="A163" s="77">
        <v>4</v>
      </c>
      <c r="B163" s="77" t="s">
        <v>30</v>
      </c>
      <c r="C163" s="21"/>
      <c r="D163" s="12">
        <f t="shared" si="36"/>
        <v>17527</v>
      </c>
      <c r="E163" s="12">
        <f>SUM(E164:E165)</f>
        <v>17527</v>
      </c>
      <c r="F163" s="12">
        <f>SUM(F164:F166)</f>
        <v>495</v>
      </c>
      <c r="G163" s="12">
        <f>SUM(G164:G166)</f>
        <v>0</v>
      </c>
      <c r="H163" s="53">
        <f t="shared" si="37"/>
        <v>0</v>
      </c>
      <c r="I163" s="53">
        <f>+I164+I165</f>
        <v>0</v>
      </c>
      <c r="J163" s="53">
        <v>0</v>
      </c>
      <c r="K163" s="40">
        <f>SUM(K164:K166)</f>
        <v>0</v>
      </c>
    </row>
    <row r="164" spans="1:11" ht="18" hidden="1" customHeight="1" x14ac:dyDescent="0.2">
      <c r="A164" s="77"/>
      <c r="B164" s="77"/>
      <c r="C164" s="21" t="s">
        <v>3</v>
      </c>
      <c r="D164" s="28">
        <f t="shared" si="36"/>
        <v>317</v>
      </c>
      <c r="E164" s="17">
        <v>317</v>
      </c>
      <c r="F164" s="17"/>
      <c r="G164" s="17"/>
      <c r="H164" s="51">
        <f t="shared" si="37"/>
        <v>0</v>
      </c>
      <c r="I164" s="49"/>
      <c r="J164" s="49">
        <v>0</v>
      </c>
      <c r="K164" s="37">
        <v>0</v>
      </c>
    </row>
    <row r="165" spans="1:11" ht="18" hidden="1" customHeight="1" x14ac:dyDescent="0.2">
      <c r="A165" s="77"/>
      <c r="B165" s="77"/>
      <c r="C165" s="21" t="s">
        <v>8</v>
      </c>
      <c r="D165" s="28">
        <f t="shared" si="36"/>
        <v>17210</v>
      </c>
      <c r="E165" s="17">
        <v>17210</v>
      </c>
      <c r="F165" s="17">
        <v>495</v>
      </c>
      <c r="G165" s="17"/>
      <c r="H165" s="51">
        <f t="shared" si="37"/>
        <v>0</v>
      </c>
      <c r="I165" s="49"/>
      <c r="J165" s="49">
        <v>0</v>
      </c>
      <c r="K165" s="37">
        <v>0</v>
      </c>
    </row>
    <row r="166" spans="1:11" ht="33.6" customHeight="1" x14ac:dyDescent="0.2">
      <c r="A166" s="62">
        <v>5</v>
      </c>
      <c r="B166" s="63" t="s">
        <v>31</v>
      </c>
      <c r="C166" s="21" t="s">
        <v>8</v>
      </c>
      <c r="D166" s="11">
        <f t="shared" si="36"/>
        <v>1080</v>
      </c>
      <c r="E166" s="12">
        <v>1080</v>
      </c>
      <c r="F166" s="12"/>
      <c r="G166" s="12"/>
      <c r="H166" s="52">
        <f t="shared" si="37"/>
        <v>2500</v>
      </c>
      <c r="I166" s="53">
        <v>2500</v>
      </c>
      <c r="J166" s="53">
        <v>0</v>
      </c>
      <c r="K166" s="40">
        <v>0</v>
      </c>
    </row>
    <row r="167" spans="1:11" ht="21.6" customHeight="1" x14ac:dyDescent="0.2">
      <c r="A167" s="75" t="s">
        <v>83</v>
      </c>
      <c r="B167" s="75"/>
      <c r="C167" s="76"/>
      <c r="D167" s="10">
        <f t="shared" si="36"/>
        <v>574248</v>
      </c>
      <c r="E167" s="10">
        <f>E169+E175+E179</f>
        <v>574248</v>
      </c>
      <c r="F167" s="10">
        <f>F169+F175+F179</f>
        <v>374199</v>
      </c>
      <c r="G167" s="10">
        <f>G169+G175+G179</f>
        <v>0</v>
      </c>
      <c r="H167" s="48">
        <f t="shared" si="37"/>
        <v>550565</v>
      </c>
      <c r="I167" s="48">
        <f>I169+I175+I179</f>
        <v>550565</v>
      </c>
      <c r="J167" s="48">
        <f>J169+J175+J179</f>
        <v>488424</v>
      </c>
      <c r="K167" s="39">
        <f>K169+K175+K179</f>
        <v>0</v>
      </c>
    </row>
    <row r="168" spans="1:11" ht="15" hidden="1" customHeight="1" thickBot="1" x14ac:dyDescent="0.25">
      <c r="A168" s="72"/>
      <c r="B168" s="72"/>
      <c r="C168" s="73"/>
      <c r="D168" s="11"/>
      <c r="E168" s="12"/>
      <c r="F168" s="12"/>
      <c r="G168" s="12"/>
      <c r="H168" s="52"/>
      <c r="I168" s="53"/>
      <c r="J168" s="53"/>
      <c r="K168" s="40"/>
    </row>
    <row r="169" spans="1:11" ht="19.149999999999999" customHeight="1" x14ac:dyDescent="0.2">
      <c r="A169" s="77">
        <v>1</v>
      </c>
      <c r="B169" s="74" t="s">
        <v>82</v>
      </c>
      <c r="C169" s="25"/>
      <c r="D169" s="12">
        <f t="shared" ref="D169:D180" si="38">E169+G169</f>
        <v>547061</v>
      </c>
      <c r="E169" s="12">
        <f>SUM(E170:E174)</f>
        <v>547061</v>
      </c>
      <c r="F169" s="12">
        <f>SUM(F170:F174)</f>
        <v>373508</v>
      </c>
      <c r="G169" s="12">
        <f>SUM(G170:G174)</f>
        <v>0</v>
      </c>
      <c r="H169" s="53">
        <f t="shared" ref="H169:H180" si="39">I169+K169</f>
        <v>547715</v>
      </c>
      <c r="I169" s="53">
        <f>SUM(I170:I174)</f>
        <v>547715</v>
      </c>
      <c r="J169" s="53">
        <f>SUM(J170:J174)</f>
        <v>488424</v>
      </c>
      <c r="K169" s="40">
        <f>SUM(K170:K174)</f>
        <v>0</v>
      </c>
    </row>
    <row r="170" spans="1:11" ht="19.149999999999999" customHeight="1" x14ac:dyDescent="0.2">
      <c r="A170" s="77"/>
      <c r="B170" s="74"/>
      <c r="C170" s="21" t="s">
        <v>3</v>
      </c>
      <c r="D170" s="13">
        <f t="shared" si="38"/>
        <v>132707</v>
      </c>
      <c r="E170" s="14">
        <v>132707</v>
      </c>
      <c r="F170" s="14">
        <v>71776</v>
      </c>
      <c r="G170" s="14"/>
      <c r="H170" s="51">
        <f t="shared" si="39"/>
        <v>153110</v>
      </c>
      <c r="I170" s="49">
        <v>153110</v>
      </c>
      <c r="J170" s="49">
        <v>109860</v>
      </c>
      <c r="K170" s="37">
        <v>0</v>
      </c>
    </row>
    <row r="171" spans="1:11" ht="18" hidden="1" customHeight="1" x14ac:dyDescent="0.2">
      <c r="A171" s="77"/>
      <c r="B171" s="74"/>
      <c r="C171" s="21" t="s">
        <v>4</v>
      </c>
      <c r="D171" s="13">
        <f t="shared" si="38"/>
        <v>0</v>
      </c>
      <c r="E171" s="14"/>
      <c r="F171" s="14"/>
      <c r="G171" s="14"/>
      <c r="H171" s="51">
        <f t="shared" si="39"/>
        <v>0</v>
      </c>
      <c r="I171" s="49"/>
      <c r="J171" s="49"/>
      <c r="K171" s="14"/>
    </row>
    <row r="172" spans="1:11" ht="19.149999999999999" customHeight="1" x14ac:dyDescent="0.2">
      <c r="A172" s="77"/>
      <c r="B172" s="74"/>
      <c r="C172" s="21" t="s">
        <v>10</v>
      </c>
      <c r="D172" s="13">
        <f t="shared" si="38"/>
        <v>405747</v>
      </c>
      <c r="E172" s="14">
        <v>405747</v>
      </c>
      <c r="F172" s="14">
        <v>301732</v>
      </c>
      <c r="G172" s="14"/>
      <c r="H172" s="51">
        <f t="shared" si="39"/>
        <v>392605</v>
      </c>
      <c r="I172" s="49">
        <v>392605</v>
      </c>
      <c r="J172" s="49">
        <v>378174</v>
      </c>
      <c r="K172" s="37">
        <v>0</v>
      </c>
    </row>
    <row r="173" spans="1:11" ht="18" hidden="1" customHeight="1" x14ac:dyDescent="0.2">
      <c r="A173" s="77"/>
      <c r="B173" s="74"/>
      <c r="C173" s="21" t="s">
        <v>11</v>
      </c>
      <c r="D173" s="13">
        <f t="shared" si="38"/>
        <v>0</v>
      </c>
      <c r="E173" s="14"/>
      <c r="F173" s="14"/>
      <c r="G173" s="14"/>
      <c r="H173" s="51">
        <f t="shared" si="39"/>
        <v>0</v>
      </c>
      <c r="I173" s="49"/>
      <c r="J173" s="49"/>
      <c r="K173" s="14">
        <v>0</v>
      </c>
    </row>
    <row r="174" spans="1:11" ht="18" customHeight="1" x14ac:dyDescent="0.2">
      <c r="A174" s="77"/>
      <c r="B174" s="74"/>
      <c r="C174" s="21" t="s">
        <v>5</v>
      </c>
      <c r="D174" s="13">
        <f t="shared" si="38"/>
        <v>8607</v>
      </c>
      <c r="E174" s="14">
        <v>8607</v>
      </c>
      <c r="F174" s="14"/>
      <c r="G174" s="14"/>
      <c r="H174" s="51">
        <f t="shared" si="39"/>
        <v>2000</v>
      </c>
      <c r="I174" s="49">
        <v>2000</v>
      </c>
      <c r="J174" s="49">
        <v>390</v>
      </c>
      <c r="K174" s="14">
        <v>0</v>
      </c>
    </row>
    <row r="175" spans="1:11" ht="18" customHeight="1" x14ac:dyDescent="0.2">
      <c r="A175" s="77">
        <v>4</v>
      </c>
      <c r="B175" s="74" t="s">
        <v>30</v>
      </c>
      <c r="C175" s="25" t="s">
        <v>3</v>
      </c>
      <c r="D175" s="12">
        <f t="shared" si="38"/>
        <v>26109</v>
      </c>
      <c r="E175" s="12">
        <f>SUM(E176:E178)</f>
        <v>26109</v>
      </c>
      <c r="F175" s="12">
        <f>SUM(F176:F178)</f>
        <v>691</v>
      </c>
      <c r="G175" s="12">
        <f>SUM(G176:G178)</f>
        <v>0</v>
      </c>
      <c r="H175" s="53">
        <f t="shared" si="39"/>
        <v>350</v>
      </c>
      <c r="I175" s="53">
        <f>+I176+I178</f>
        <v>350</v>
      </c>
      <c r="J175" s="53">
        <f>SUM(J176:J178)</f>
        <v>0</v>
      </c>
      <c r="K175" s="18">
        <f>SUM(K176:K178)</f>
        <v>0</v>
      </c>
    </row>
    <row r="176" spans="1:11" ht="18" hidden="1" customHeight="1" x14ac:dyDescent="0.2">
      <c r="A176" s="77"/>
      <c r="B176" s="74"/>
      <c r="C176" s="21" t="s">
        <v>8</v>
      </c>
      <c r="D176" s="13">
        <f t="shared" si="38"/>
        <v>24705</v>
      </c>
      <c r="E176" s="14">
        <v>24705</v>
      </c>
      <c r="F176" s="14">
        <v>691</v>
      </c>
      <c r="G176" s="14"/>
      <c r="H176" s="51">
        <f t="shared" si="39"/>
        <v>0</v>
      </c>
      <c r="I176" s="49"/>
      <c r="J176" s="49">
        <v>0</v>
      </c>
      <c r="K176" s="14">
        <v>0</v>
      </c>
    </row>
    <row r="177" spans="1:11" ht="18" hidden="1" customHeight="1" x14ac:dyDescent="0.2">
      <c r="A177" s="77"/>
      <c r="B177" s="74"/>
      <c r="C177" s="21" t="s">
        <v>6</v>
      </c>
      <c r="D177" s="13">
        <f t="shared" si="38"/>
        <v>78</v>
      </c>
      <c r="E177" s="14">
        <v>78</v>
      </c>
      <c r="F177" s="14"/>
      <c r="G177" s="14"/>
      <c r="H177" s="51">
        <f t="shared" si="39"/>
        <v>0</v>
      </c>
      <c r="I177" s="49"/>
      <c r="J177" s="49"/>
      <c r="K177" s="14"/>
    </row>
    <row r="178" spans="1:11" ht="18" hidden="1" customHeight="1" x14ac:dyDescent="0.2">
      <c r="A178" s="77"/>
      <c r="B178" s="74"/>
      <c r="C178" s="21" t="s">
        <v>3</v>
      </c>
      <c r="D178" s="13">
        <f t="shared" si="38"/>
        <v>1326</v>
      </c>
      <c r="E178" s="14">
        <v>1326</v>
      </c>
      <c r="F178" s="14"/>
      <c r="G178" s="14"/>
      <c r="H178" s="51">
        <f t="shared" si="39"/>
        <v>350</v>
      </c>
      <c r="I178" s="49">
        <v>350</v>
      </c>
      <c r="J178" s="49">
        <v>0</v>
      </c>
      <c r="K178" s="14">
        <v>0</v>
      </c>
    </row>
    <row r="179" spans="1:11" ht="32.25" customHeight="1" x14ac:dyDescent="0.2">
      <c r="A179" s="62">
        <v>5</v>
      </c>
      <c r="B179" s="63" t="s">
        <v>31</v>
      </c>
      <c r="C179" s="21" t="s">
        <v>8</v>
      </c>
      <c r="D179" s="11">
        <f t="shared" si="38"/>
        <v>1078</v>
      </c>
      <c r="E179" s="12">
        <v>1078</v>
      </c>
      <c r="F179" s="12"/>
      <c r="G179" s="12"/>
      <c r="H179" s="52">
        <f t="shared" si="39"/>
        <v>2500</v>
      </c>
      <c r="I179" s="53">
        <v>2500</v>
      </c>
      <c r="J179" s="53">
        <v>0</v>
      </c>
      <c r="K179" s="18">
        <v>0</v>
      </c>
    </row>
    <row r="180" spans="1:11" ht="24" hidden="1" customHeight="1" x14ac:dyDescent="0.2">
      <c r="A180" s="75" t="s">
        <v>86</v>
      </c>
      <c r="B180" s="75"/>
      <c r="C180" s="76"/>
      <c r="D180" s="10">
        <f t="shared" si="38"/>
        <v>194702</v>
      </c>
      <c r="E180" s="10">
        <f>E182+E188+E191</f>
        <v>193702</v>
      </c>
      <c r="F180" s="10">
        <f>F182+F188+F191</f>
        <v>124977</v>
      </c>
      <c r="G180" s="10">
        <f>G182+G188+G191</f>
        <v>1000</v>
      </c>
      <c r="H180" s="48">
        <f t="shared" si="39"/>
        <v>0</v>
      </c>
      <c r="I180" s="48">
        <f>I182+I188+I191</f>
        <v>0</v>
      </c>
      <c r="J180" s="48">
        <f>J182+J188+J191</f>
        <v>0</v>
      </c>
      <c r="K180" s="43">
        <f>K182+K188+K191</f>
        <v>0</v>
      </c>
    </row>
    <row r="181" spans="1:11" ht="15" hidden="1" customHeight="1" x14ac:dyDescent="0.2">
      <c r="A181" s="72"/>
      <c r="B181" s="72"/>
      <c r="C181" s="73"/>
      <c r="D181" s="11"/>
      <c r="E181" s="12"/>
      <c r="F181" s="12"/>
      <c r="G181" s="12"/>
      <c r="H181" s="52"/>
      <c r="I181" s="53"/>
      <c r="J181" s="53"/>
      <c r="K181" s="40"/>
    </row>
    <row r="182" spans="1:11" ht="18" hidden="1" customHeight="1" x14ac:dyDescent="0.2">
      <c r="A182" s="77">
        <v>1</v>
      </c>
      <c r="B182" s="74" t="s">
        <v>82</v>
      </c>
      <c r="C182" s="25"/>
      <c r="D182" s="12">
        <f t="shared" ref="D182:D191" si="40">E182+G182</f>
        <v>186719</v>
      </c>
      <c r="E182" s="12">
        <f>SUM(E183:E187)</f>
        <v>185719</v>
      </c>
      <c r="F182" s="12">
        <f>SUM(F183:F187)</f>
        <v>124774</v>
      </c>
      <c r="G182" s="12">
        <f>SUM(G183:G187)</f>
        <v>1000</v>
      </c>
      <c r="H182" s="53">
        <f t="shared" ref="H182:H191" si="41">I182+K182</f>
        <v>0</v>
      </c>
      <c r="I182" s="53">
        <f>SUM(I183:I187)</f>
        <v>0</v>
      </c>
      <c r="J182" s="53">
        <f>SUM(J183:J187)</f>
        <v>0</v>
      </c>
      <c r="K182" s="40">
        <f>SUM(K183:K187)</f>
        <v>0</v>
      </c>
    </row>
    <row r="183" spans="1:11" ht="19.899999999999999" hidden="1" customHeight="1" x14ac:dyDescent="0.2">
      <c r="A183" s="77"/>
      <c r="B183" s="74"/>
      <c r="C183" s="21" t="s">
        <v>3</v>
      </c>
      <c r="D183" s="13">
        <f t="shared" si="40"/>
        <v>68517</v>
      </c>
      <c r="E183" s="14">
        <v>68517</v>
      </c>
      <c r="F183" s="14">
        <v>37651</v>
      </c>
      <c r="G183" s="14"/>
      <c r="H183" s="51">
        <f t="shared" si="41"/>
        <v>0</v>
      </c>
      <c r="I183" s="49"/>
      <c r="J183" s="49"/>
      <c r="K183" s="37">
        <v>0</v>
      </c>
    </row>
    <row r="184" spans="1:11" ht="18" hidden="1" customHeight="1" x14ac:dyDescent="0.2">
      <c r="A184" s="77"/>
      <c r="B184" s="74"/>
      <c r="C184" s="21" t="s">
        <v>4</v>
      </c>
      <c r="D184" s="13">
        <f t="shared" si="40"/>
        <v>0</v>
      </c>
      <c r="E184" s="14"/>
      <c r="F184" s="14"/>
      <c r="G184" s="14"/>
      <c r="H184" s="51">
        <f t="shared" si="41"/>
        <v>0</v>
      </c>
      <c r="I184" s="49"/>
      <c r="J184" s="49"/>
      <c r="K184" s="37"/>
    </row>
    <row r="185" spans="1:11" ht="20.45" hidden="1" customHeight="1" x14ac:dyDescent="0.2">
      <c r="A185" s="77"/>
      <c r="B185" s="74"/>
      <c r="C185" s="21" t="s">
        <v>10</v>
      </c>
      <c r="D185" s="13">
        <f t="shared" si="40"/>
        <v>116491</v>
      </c>
      <c r="E185" s="14">
        <v>115491</v>
      </c>
      <c r="F185" s="14">
        <v>87123</v>
      </c>
      <c r="G185" s="14">
        <v>1000</v>
      </c>
      <c r="H185" s="51">
        <f t="shared" si="41"/>
        <v>0</v>
      </c>
      <c r="I185" s="49"/>
      <c r="J185" s="49"/>
      <c r="K185" s="37">
        <v>0</v>
      </c>
    </row>
    <row r="186" spans="1:11" ht="18" hidden="1" customHeight="1" x14ac:dyDescent="0.2">
      <c r="A186" s="77"/>
      <c r="B186" s="74"/>
      <c r="C186" s="21" t="s">
        <v>11</v>
      </c>
      <c r="D186" s="13">
        <f t="shared" si="40"/>
        <v>0</v>
      </c>
      <c r="E186" s="14"/>
      <c r="F186" s="14"/>
      <c r="G186" s="14"/>
      <c r="H186" s="51">
        <f t="shared" si="41"/>
        <v>0</v>
      </c>
      <c r="I186" s="49"/>
      <c r="J186" s="49"/>
      <c r="K186" s="37">
        <v>0</v>
      </c>
    </row>
    <row r="187" spans="1:11" ht="18" hidden="1" customHeight="1" x14ac:dyDescent="0.2">
      <c r="A187" s="77"/>
      <c r="B187" s="74"/>
      <c r="C187" s="21" t="s">
        <v>5</v>
      </c>
      <c r="D187" s="13">
        <f t="shared" si="40"/>
        <v>1711</v>
      </c>
      <c r="E187" s="14">
        <v>1711</v>
      </c>
      <c r="F187" s="14"/>
      <c r="G187" s="14"/>
      <c r="H187" s="51">
        <f t="shared" si="41"/>
        <v>0</v>
      </c>
      <c r="I187" s="49"/>
      <c r="J187" s="49"/>
      <c r="K187" s="37">
        <v>0</v>
      </c>
    </row>
    <row r="188" spans="1:11" ht="18" hidden="1" customHeight="1" x14ac:dyDescent="0.2">
      <c r="A188" s="77">
        <v>4</v>
      </c>
      <c r="B188" s="74" t="s">
        <v>30</v>
      </c>
      <c r="C188" s="21"/>
      <c r="D188" s="12">
        <f t="shared" si="40"/>
        <v>7266</v>
      </c>
      <c r="E188" s="12">
        <f>SUM(E189:E190)</f>
        <v>7266</v>
      </c>
      <c r="F188" s="12">
        <f>SUM(F189:F191)</f>
        <v>203</v>
      </c>
      <c r="G188" s="12">
        <f>SUM(G189:G191)</f>
        <v>0</v>
      </c>
      <c r="H188" s="53">
        <f t="shared" si="41"/>
        <v>0</v>
      </c>
      <c r="I188" s="53">
        <f>SUM(I189:I190)</f>
        <v>0</v>
      </c>
      <c r="J188" s="53">
        <f>SUM(J189:J191)</f>
        <v>0</v>
      </c>
      <c r="K188" s="40">
        <f>SUM(K189:K191)</f>
        <v>0</v>
      </c>
    </row>
    <row r="189" spans="1:11" ht="30" hidden="1" customHeight="1" x14ac:dyDescent="0.2">
      <c r="A189" s="77"/>
      <c r="B189" s="74"/>
      <c r="C189" s="21" t="s">
        <v>8</v>
      </c>
      <c r="D189" s="13">
        <f t="shared" si="40"/>
        <v>7072</v>
      </c>
      <c r="E189" s="14">
        <v>7072</v>
      </c>
      <c r="F189" s="14">
        <v>203</v>
      </c>
      <c r="G189" s="14"/>
      <c r="H189" s="52">
        <f t="shared" si="41"/>
        <v>0</v>
      </c>
      <c r="I189" s="53">
        <v>0</v>
      </c>
      <c r="J189" s="53">
        <v>0</v>
      </c>
      <c r="K189" s="40">
        <v>0</v>
      </c>
    </row>
    <row r="190" spans="1:11" ht="18" hidden="1" customHeight="1" x14ac:dyDescent="0.2">
      <c r="A190" s="77"/>
      <c r="B190" s="74"/>
      <c r="C190" s="21" t="s">
        <v>6</v>
      </c>
      <c r="D190" s="13">
        <f t="shared" si="40"/>
        <v>194</v>
      </c>
      <c r="E190" s="14">
        <v>194</v>
      </c>
      <c r="F190" s="14"/>
      <c r="G190" s="14"/>
      <c r="H190" s="51">
        <f t="shared" si="41"/>
        <v>0</v>
      </c>
      <c r="I190" s="49"/>
      <c r="J190" s="49"/>
      <c r="K190" s="37"/>
    </row>
    <row r="191" spans="1:11" ht="28.15" hidden="1" customHeight="1" x14ac:dyDescent="0.2">
      <c r="A191" s="62">
        <v>5</v>
      </c>
      <c r="B191" s="63" t="s">
        <v>31</v>
      </c>
      <c r="C191" s="21" t="s">
        <v>8</v>
      </c>
      <c r="D191" s="11">
        <f t="shared" si="40"/>
        <v>717</v>
      </c>
      <c r="E191" s="12">
        <v>717</v>
      </c>
      <c r="F191" s="15"/>
      <c r="G191" s="15"/>
      <c r="H191" s="52">
        <f t="shared" si="41"/>
        <v>0</v>
      </c>
      <c r="I191" s="53"/>
      <c r="J191" s="53">
        <v>0</v>
      </c>
      <c r="K191" s="40">
        <v>0</v>
      </c>
    </row>
    <row r="192" spans="1:11" s="5" customFormat="1" ht="16.149999999999999" hidden="1" customHeight="1" x14ac:dyDescent="0.2">
      <c r="A192" s="62"/>
      <c r="B192" s="63"/>
      <c r="C192" s="21"/>
      <c r="D192" s="11"/>
      <c r="E192" s="12"/>
      <c r="F192" s="15"/>
      <c r="G192" s="15"/>
      <c r="H192" s="52"/>
      <c r="I192" s="53"/>
      <c r="J192" s="49"/>
      <c r="K192" s="37"/>
    </row>
    <row r="193" spans="1:11" ht="22.9" customHeight="1" x14ac:dyDescent="0.2">
      <c r="A193" s="75" t="s">
        <v>17</v>
      </c>
      <c r="B193" s="75"/>
      <c r="C193" s="76"/>
      <c r="D193" s="10">
        <f>E193+G193</f>
        <v>439898</v>
      </c>
      <c r="E193" s="10">
        <f>E195+E201+E204</f>
        <v>439464</v>
      </c>
      <c r="F193" s="10">
        <f>F195+F201+F204</f>
        <v>273335</v>
      </c>
      <c r="G193" s="10">
        <f>G195+G201+G204</f>
        <v>434</v>
      </c>
      <c r="H193" s="48">
        <f>I193+K193</f>
        <v>462077</v>
      </c>
      <c r="I193" s="48">
        <f>I195+I201+I204</f>
        <v>462077</v>
      </c>
      <c r="J193" s="48">
        <f>J195+J201+J204</f>
        <v>392726</v>
      </c>
      <c r="K193" s="39">
        <f>K195+K201+K204</f>
        <v>0</v>
      </c>
    </row>
    <row r="194" spans="1:11" ht="15" hidden="1" customHeight="1" thickBot="1" x14ac:dyDescent="0.25">
      <c r="A194" s="72"/>
      <c r="B194" s="72"/>
      <c r="C194" s="73"/>
      <c r="D194" s="11"/>
      <c r="E194" s="12"/>
      <c r="F194" s="12"/>
      <c r="G194" s="12"/>
      <c r="H194" s="52"/>
      <c r="I194" s="53"/>
      <c r="J194" s="53"/>
      <c r="K194" s="40"/>
    </row>
    <row r="195" spans="1:11" ht="18" customHeight="1" x14ac:dyDescent="0.2">
      <c r="A195" s="77">
        <v>1</v>
      </c>
      <c r="B195" s="74" t="s">
        <v>82</v>
      </c>
      <c r="C195" s="25"/>
      <c r="D195" s="12">
        <f t="shared" ref="D195:D205" si="42">E195+G195</f>
        <v>425537</v>
      </c>
      <c r="E195" s="12">
        <f>SUM(E196:E200)</f>
        <v>425103</v>
      </c>
      <c r="F195" s="12">
        <f>SUM(F196:F200)</f>
        <v>272987</v>
      </c>
      <c r="G195" s="12">
        <f>SUM(G196:G200)</f>
        <v>434</v>
      </c>
      <c r="H195" s="53">
        <f t="shared" ref="H195:H205" si="43">I195+K195</f>
        <v>457747</v>
      </c>
      <c r="I195" s="53">
        <f>SUM(I196:I200)</f>
        <v>457747</v>
      </c>
      <c r="J195" s="53">
        <f>SUM(J196:J200)</f>
        <v>392726</v>
      </c>
      <c r="K195" s="40">
        <f>SUM(K196:K200)</f>
        <v>0</v>
      </c>
    </row>
    <row r="196" spans="1:11" ht="18" customHeight="1" x14ac:dyDescent="0.2">
      <c r="A196" s="77"/>
      <c r="B196" s="74"/>
      <c r="C196" s="21" t="s">
        <v>3</v>
      </c>
      <c r="D196" s="13">
        <f t="shared" si="42"/>
        <v>151447</v>
      </c>
      <c r="E196" s="14">
        <v>151447</v>
      </c>
      <c r="F196" s="14">
        <v>73316</v>
      </c>
      <c r="G196" s="14"/>
      <c r="H196" s="51">
        <f t="shared" si="43"/>
        <v>173304</v>
      </c>
      <c r="I196" s="49">
        <v>173304</v>
      </c>
      <c r="J196" s="49">
        <v>122039</v>
      </c>
      <c r="K196" s="37">
        <v>0</v>
      </c>
    </row>
    <row r="197" spans="1:11" ht="18" hidden="1" customHeight="1" x14ac:dyDescent="0.2">
      <c r="A197" s="77"/>
      <c r="B197" s="74"/>
      <c r="C197" s="21" t="s">
        <v>3</v>
      </c>
      <c r="D197" s="13">
        <f t="shared" si="42"/>
        <v>0</v>
      </c>
      <c r="E197" s="14"/>
      <c r="F197" s="14"/>
      <c r="G197" s="14"/>
      <c r="H197" s="51">
        <f t="shared" si="43"/>
        <v>0</v>
      </c>
      <c r="I197" s="49"/>
      <c r="J197" s="49"/>
      <c r="K197" s="37"/>
    </row>
    <row r="198" spans="1:11" ht="18" customHeight="1" x14ac:dyDescent="0.2">
      <c r="A198" s="77"/>
      <c r="B198" s="74"/>
      <c r="C198" s="21" t="s">
        <v>10</v>
      </c>
      <c r="D198" s="13">
        <f t="shared" si="42"/>
        <v>266350</v>
      </c>
      <c r="E198" s="14">
        <v>265916</v>
      </c>
      <c r="F198" s="14">
        <v>199671</v>
      </c>
      <c r="G198" s="14">
        <v>434</v>
      </c>
      <c r="H198" s="51">
        <f t="shared" si="43"/>
        <v>277860</v>
      </c>
      <c r="I198" s="49">
        <v>277860</v>
      </c>
      <c r="J198" s="49">
        <v>269420</v>
      </c>
      <c r="K198" s="37">
        <v>0</v>
      </c>
    </row>
    <row r="199" spans="1:11" ht="18" hidden="1" customHeight="1" x14ac:dyDescent="0.2">
      <c r="A199" s="77"/>
      <c r="B199" s="74"/>
      <c r="C199" s="21" t="s">
        <v>11</v>
      </c>
      <c r="D199" s="13">
        <f t="shared" si="42"/>
        <v>0</v>
      </c>
      <c r="E199" s="14"/>
      <c r="F199" s="14"/>
      <c r="G199" s="14"/>
      <c r="H199" s="51">
        <f t="shared" si="43"/>
        <v>0</v>
      </c>
      <c r="I199" s="49"/>
      <c r="J199" s="49"/>
      <c r="K199" s="37">
        <v>0</v>
      </c>
    </row>
    <row r="200" spans="1:11" ht="18" customHeight="1" x14ac:dyDescent="0.2">
      <c r="A200" s="77"/>
      <c r="B200" s="74"/>
      <c r="C200" s="21" t="s">
        <v>5</v>
      </c>
      <c r="D200" s="13">
        <f t="shared" si="42"/>
        <v>7740</v>
      </c>
      <c r="E200" s="14">
        <v>7740</v>
      </c>
      <c r="F200" s="14"/>
      <c r="G200" s="14"/>
      <c r="H200" s="51">
        <f t="shared" si="43"/>
        <v>6583</v>
      </c>
      <c r="I200" s="49">
        <v>6583</v>
      </c>
      <c r="J200" s="49">
        <v>1267</v>
      </c>
      <c r="K200" s="37">
        <v>0</v>
      </c>
    </row>
    <row r="201" spans="1:11" ht="18" hidden="1" customHeight="1" x14ac:dyDescent="0.2">
      <c r="A201" s="77">
        <v>4</v>
      </c>
      <c r="B201" s="74" t="s">
        <v>30</v>
      </c>
      <c r="C201" s="21"/>
      <c r="D201" s="12">
        <f t="shared" si="42"/>
        <v>12560</v>
      </c>
      <c r="E201" s="12">
        <f>SUM(E202:E203)</f>
        <v>12560</v>
      </c>
      <c r="F201" s="12">
        <f>SUM(F202:F204)</f>
        <v>348</v>
      </c>
      <c r="G201" s="12">
        <f>SUM(G202:G204)</f>
        <v>0</v>
      </c>
      <c r="H201" s="53">
        <f t="shared" si="43"/>
        <v>0</v>
      </c>
      <c r="I201" s="53">
        <f>+I202+I203</f>
        <v>0</v>
      </c>
      <c r="J201" s="53">
        <f>SUM(J202:J204)</f>
        <v>0</v>
      </c>
      <c r="K201" s="40">
        <f>SUM(K202:K204)</f>
        <v>0</v>
      </c>
    </row>
    <row r="202" spans="1:11" ht="18" hidden="1" customHeight="1" x14ac:dyDescent="0.2">
      <c r="A202" s="77"/>
      <c r="B202" s="74"/>
      <c r="C202" s="21" t="s">
        <v>8</v>
      </c>
      <c r="D202" s="13">
        <f t="shared" si="42"/>
        <v>12144</v>
      </c>
      <c r="E202" s="14">
        <v>12144</v>
      </c>
      <c r="F202" s="14">
        <v>348</v>
      </c>
      <c r="G202" s="14"/>
      <c r="H202" s="51">
        <f t="shared" si="43"/>
        <v>0</v>
      </c>
      <c r="I202" s="49"/>
      <c r="J202" s="49">
        <v>0</v>
      </c>
      <c r="K202" s="37">
        <v>0</v>
      </c>
    </row>
    <row r="203" spans="1:11" ht="18" hidden="1" customHeight="1" x14ac:dyDescent="0.2">
      <c r="A203" s="77"/>
      <c r="B203" s="74"/>
      <c r="C203" s="21" t="s">
        <v>3</v>
      </c>
      <c r="D203" s="13">
        <f t="shared" si="42"/>
        <v>416</v>
      </c>
      <c r="E203" s="14">
        <v>416</v>
      </c>
      <c r="F203" s="14"/>
      <c r="G203" s="14"/>
      <c r="H203" s="51">
        <f t="shared" si="43"/>
        <v>0</v>
      </c>
      <c r="I203" s="49"/>
      <c r="J203" s="49">
        <v>0</v>
      </c>
      <c r="K203" s="37">
        <v>0</v>
      </c>
    </row>
    <row r="204" spans="1:11" ht="33.6" customHeight="1" x14ac:dyDescent="0.2">
      <c r="A204" s="62">
        <v>5</v>
      </c>
      <c r="B204" s="63" t="s">
        <v>31</v>
      </c>
      <c r="C204" s="21" t="s">
        <v>8</v>
      </c>
      <c r="D204" s="11">
        <f t="shared" si="42"/>
        <v>1801</v>
      </c>
      <c r="E204" s="12">
        <v>1801</v>
      </c>
      <c r="F204" s="15"/>
      <c r="G204" s="15"/>
      <c r="H204" s="52">
        <f t="shared" si="43"/>
        <v>4330</v>
      </c>
      <c r="I204" s="53">
        <v>4330</v>
      </c>
      <c r="J204" s="53">
        <v>0</v>
      </c>
      <c r="K204" s="40">
        <v>0</v>
      </c>
    </row>
    <row r="205" spans="1:11" ht="24.6" hidden="1" customHeight="1" x14ac:dyDescent="0.2">
      <c r="A205" s="75" t="s">
        <v>84</v>
      </c>
      <c r="B205" s="75"/>
      <c r="C205" s="76"/>
      <c r="D205" s="10">
        <f t="shared" si="42"/>
        <v>234087</v>
      </c>
      <c r="E205" s="10">
        <f>E207+E213+E216</f>
        <v>234087</v>
      </c>
      <c r="F205" s="10">
        <f>F207+F213+F216</f>
        <v>152716</v>
      </c>
      <c r="G205" s="10">
        <f>G207+G213+G216</f>
        <v>0</v>
      </c>
      <c r="H205" s="48">
        <f t="shared" si="43"/>
        <v>0</v>
      </c>
      <c r="I205" s="48">
        <f>I207+I213+I216</f>
        <v>0</v>
      </c>
      <c r="J205" s="48">
        <f>J207+J213+J216</f>
        <v>0</v>
      </c>
      <c r="K205" s="39">
        <f>K207+K213+K216</f>
        <v>0</v>
      </c>
    </row>
    <row r="206" spans="1:11" ht="15" hidden="1" customHeight="1" x14ac:dyDescent="0.2">
      <c r="A206" s="72"/>
      <c r="B206" s="72"/>
      <c r="C206" s="73"/>
      <c r="D206" s="11"/>
      <c r="E206" s="12"/>
      <c r="F206" s="12"/>
      <c r="G206" s="12"/>
      <c r="H206" s="52"/>
      <c r="I206" s="53"/>
      <c r="J206" s="53"/>
      <c r="K206" s="40"/>
    </row>
    <row r="207" spans="1:11" ht="18" hidden="1" customHeight="1" x14ac:dyDescent="0.2">
      <c r="A207" s="77">
        <v>1</v>
      </c>
      <c r="B207" s="74" t="s">
        <v>82</v>
      </c>
      <c r="C207" s="25"/>
      <c r="D207" s="12">
        <f t="shared" ref="D207:D217" si="44">E207+G207</f>
        <v>224369</v>
      </c>
      <c r="E207" s="12">
        <f>SUM(E208:E212)</f>
        <v>224369</v>
      </c>
      <c r="F207" s="12">
        <f>SUM(F208:F212)</f>
        <v>152465</v>
      </c>
      <c r="G207" s="12">
        <f>SUM(G208:G212)</f>
        <v>0</v>
      </c>
      <c r="H207" s="53">
        <f t="shared" ref="H207:H217" si="45">I207+K207</f>
        <v>0</v>
      </c>
      <c r="I207" s="53">
        <f>SUM(I208:I212)</f>
        <v>0</v>
      </c>
      <c r="J207" s="53">
        <f>SUM(J208:J212)</f>
        <v>0</v>
      </c>
      <c r="K207" s="40">
        <f>SUM(K208:K212)</f>
        <v>0</v>
      </c>
    </row>
    <row r="208" spans="1:11" ht="18" hidden="1" customHeight="1" x14ac:dyDescent="0.2">
      <c r="A208" s="77"/>
      <c r="B208" s="74"/>
      <c r="C208" s="21" t="s">
        <v>3</v>
      </c>
      <c r="D208" s="13">
        <f t="shared" si="44"/>
        <v>59606</v>
      </c>
      <c r="E208" s="14">
        <v>59606</v>
      </c>
      <c r="F208" s="14">
        <v>32044</v>
      </c>
      <c r="G208" s="14"/>
      <c r="H208" s="51">
        <f t="shared" si="45"/>
        <v>0</v>
      </c>
      <c r="I208" s="49"/>
      <c r="J208" s="49"/>
      <c r="K208" s="37">
        <v>0</v>
      </c>
    </row>
    <row r="209" spans="1:11" ht="18" hidden="1" customHeight="1" x14ac:dyDescent="0.2">
      <c r="A209" s="77"/>
      <c r="B209" s="74"/>
      <c r="C209" s="21" t="s">
        <v>3</v>
      </c>
      <c r="D209" s="13">
        <f t="shared" si="44"/>
        <v>0</v>
      </c>
      <c r="E209" s="14"/>
      <c r="F209" s="14"/>
      <c r="G209" s="14"/>
      <c r="H209" s="51">
        <f t="shared" si="45"/>
        <v>0</v>
      </c>
      <c r="I209" s="49"/>
      <c r="J209" s="49"/>
      <c r="K209" s="37"/>
    </row>
    <row r="210" spans="1:11" ht="18" hidden="1" customHeight="1" x14ac:dyDescent="0.2">
      <c r="A210" s="77"/>
      <c r="B210" s="74"/>
      <c r="C210" s="21" t="s">
        <v>10</v>
      </c>
      <c r="D210" s="13">
        <f t="shared" si="44"/>
        <v>161164</v>
      </c>
      <c r="E210" s="14">
        <v>161164</v>
      </c>
      <c r="F210" s="14">
        <v>120421</v>
      </c>
      <c r="G210" s="14"/>
      <c r="H210" s="51">
        <f t="shared" si="45"/>
        <v>0</v>
      </c>
      <c r="I210" s="49"/>
      <c r="J210" s="49"/>
      <c r="K210" s="37">
        <v>0</v>
      </c>
    </row>
    <row r="211" spans="1:11" ht="18" hidden="1" customHeight="1" x14ac:dyDescent="0.2">
      <c r="A211" s="77"/>
      <c r="B211" s="74"/>
      <c r="C211" s="21" t="s">
        <v>11</v>
      </c>
      <c r="D211" s="13">
        <f t="shared" si="44"/>
        <v>0</v>
      </c>
      <c r="E211" s="14"/>
      <c r="F211" s="14"/>
      <c r="G211" s="14"/>
      <c r="H211" s="51">
        <f t="shared" si="45"/>
        <v>0</v>
      </c>
      <c r="I211" s="49"/>
      <c r="J211" s="49"/>
      <c r="K211" s="37">
        <v>0</v>
      </c>
    </row>
    <row r="212" spans="1:11" ht="18" hidden="1" customHeight="1" x14ac:dyDescent="0.2">
      <c r="A212" s="77"/>
      <c r="B212" s="74"/>
      <c r="C212" s="21" t="s">
        <v>5</v>
      </c>
      <c r="D212" s="13">
        <f t="shared" si="44"/>
        <v>3599</v>
      </c>
      <c r="E212" s="14">
        <v>3599</v>
      </c>
      <c r="F212" s="14"/>
      <c r="G212" s="14"/>
      <c r="H212" s="51">
        <f t="shared" si="45"/>
        <v>0</v>
      </c>
      <c r="I212" s="49"/>
      <c r="J212" s="49"/>
      <c r="K212" s="37">
        <v>0</v>
      </c>
    </row>
    <row r="213" spans="1:11" ht="30" hidden="1" customHeight="1" x14ac:dyDescent="0.2">
      <c r="A213" s="77">
        <v>4</v>
      </c>
      <c r="B213" s="74" t="s">
        <v>30</v>
      </c>
      <c r="C213" s="21" t="s">
        <v>8</v>
      </c>
      <c r="D213" s="12">
        <f t="shared" si="44"/>
        <v>8996</v>
      </c>
      <c r="E213" s="12">
        <f>SUM(E214:E215)</f>
        <v>8996</v>
      </c>
      <c r="F213" s="12">
        <f>SUM(F214:F216)</f>
        <v>251</v>
      </c>
      <c r="G213" s="12">
        <f>SUM(G214:G216)</f>
        <v>0</v>
      </c>
      <c r="H213" s="53">
        <f t="shared" si="45"/>
        <v>0</v>
      </c>
      <c r="I213" s="53"/>
      <c r="J213" s="53">
        <v>0</v>
      </c>
      <c r="K213" s="40">
        <f>SUM(K214:K216)</f>
        <v>0</v>
      </c>
    </row>
    <row r="214" spans="1:11" ht="18" hidden="1" customHeight="1" x14ac:dyDescent="0.2">
      <c r="A214" s="77"/>
      <c r="B214" s="74"/>
      <c r="C214" s="21" t="s">
        <v>8</v>
      </c>
      <c r="D214" s="13">
        <f t="shared" si="44"/>
        <v>8747</v>
      </c>
      <c r="E214" s="14">
        <v>8747</v>
      </c>
      <c r="F214" s="14">
        <v>251</v>
      </c>
      <c r="G214" s="14"/>
      <c r="H214" s="51">
        <f t="shared" si="45"/>
        <v>0</v>
      </c>
      <c r="I214" s="49"/>
      <c r="J214" s="49"/>
      <c r="K214" s="37"/>
    </row>
    <row r="215" spans="1:11" ht="18" hidden="1" customHeight="1" x14ac:dyDescent="0.2">
      <c r="A215" s="77"/>
      <c r="B215" s="74"/>
      <c r="C215" s="21" t="s">
        <v>6</v>
      </c>
      <c r="D215" s="13">
        <f t="shared" si="44"/>
        <v>249</v>
      </c>
      <c r="E215" s="14">
        <v>249</v>
      </c>
      <c r="F215" s="15"/>
      <c r="G215" s="15"/>
      <c r="H215" s="51">
        <f t="shared" si="45"/>
        <v>0</v>
      </c>
      <c r="I215" s="49"/>
      <c r="J215" s="49"/>
      <c r="K215" s="37"/>
    </row>
    <row r="216" spans="1:11" ht="30" hidden="1" customHeight="1" x14ac:dyDescent="0.2">
      <c r="A216" s="62">
        <v>5</v>
      </c>
      <c r="B216" s="63" t="s">
        <v>31</v>
      </c>
      <c r="C216" s="21" t="s">
        <v>8</v>
      </c>
      <c r="D216" s="11">
        <f t="shared" si="44"/>
        <v>722</v>
      </c>
      <c r="E216" s="12">
        <v>722</v>
      </c>
      <c r="F216" s="15"/>
      <c r="G216" s="15"/>
      <c r="H216" s="52">
        <f t="shared" si="45"/>
        <v>0</v>
      </c>
      <c r="I216" s="53"/>
      <c r="J216" s="53">
        <v>0</v>
      </c>
      <c r="K216" s="40">
        <v>0</v>
      </c>
    </row>
    <row r="217" spans="1:11" ht="25.15" customHeight="1" x14ac:dyDescent="0.2">
      <c r="A217" s="75" t="s">
        <v>18</v>
      </c>
      <c r="B217" s="75"/>
      <c r="C217" s="76"/>
      <c r="D217" s="10">
        <f t="shared" si="44"/>
        <v>37110</v>
      </c>
      <c r="E217" s="10">
        <f>E219+E220+E223</f>
        <v>36647</v>
      </c>
      <c r="F217" s="10">
        <f>F219+F220+F223</f>
        <v>21819</v>
      </c>
      <c r="G217" s="10">
        <f>G219+G220+G223+G224</f>
        <v>463</v>
      </c>
      <c r="H217" s="48">
        <f t="shared" si="45"/>
        <v>60732</v>
      </c>
      <c r="I217" s="48">
        <f>+I218+I224+I225</f>
        <v>60732</v>
      </c>
      <c r="J217" s="48">
        <f t="shared" ref="J217:K217" si="46">+J218+J224+J225</f>
        <v>42800</v>
      </c>
      <c r="K217" s="48">
        <f t="shared" si="46"/>
        <v>0</v>
      </c>
    </row>
    <row r="218" spans="1:11" ht="15" customHeight="1" x14ac:dyDescent="0.2">
      <c r="A218" s="84">
        <v>1</v>
      </c>
      <c r="B218" s="78" t="s">
        <v>82</v>
      </c>
      <c r="C218" s="32"/>
      <c r="D218" s="11">
        <f>+D219+D223</f>
        <v>37110</v>
      </c>
      <c r="E218" s="12">
        <f>+E219+E223</f>
        <v>36647</v>
      </c>
      <c r="F218" s="12">
        <f>+F219+F223</f>
        <v>21819</v>
      </c>
      <c r="G218" s="12">
        <f>+G219</f>
        <v>463</v>
      </c>
      <c r="H218" s="52">
        <f>+I218+K218</f>
        <v>58232</v>
      </c>
      <c r="I218" s="53">
        <f>+I219+I223+I220+I221+I222</f>
        <v>58232</v>
      </c>
      <c r="J218" s="53">
        <f t="shared" ref="J218:K218" si="47">+J219+J223+J220+J221+J222</f>
        <v>42800</v>
      </c>
      <c r="K218" s="40">
        <f t="shared" si="47"/>
        <v>0</v>
      </c>
    </row>
    <row r="219" spans="1:11" ht="18" customHeight="1" x14ac:dyDescent="0.2">
      <c r="A219" s="85"/>
      <c r="B219" s="79"/>
      <c r="C219" s="21" t="s">
        <v>3</v>
      </c>
      <c r="D219" s="13">
        <f>E219+G219</f>
        <v>36212</v>
      </c>
      <c r="E219" s="14">
        <f>34631+1118</f>
        <v>35749</v>
      </c>
      <c r="F219" s="14">
        <f>20965+854</f>
        <v>21819</v>
      </c>
      <c r="G219" s="14">
        <v>463</v>
      </c>
      <c r="H219" s="51">
        <f t="shared" ref="H219:H226" si="48">I219+K219</f>
        <v>50940</v>
      </c>
      <c r="I219" s="49">
        <v>50940</v>
      </c>
      <c r="J219" s="49">
        <v>42800</v>
      </c>
      <c r="K219" s="37">
        <v>0</v>
      </c>
    </row>
    <row r="220" spans="1:11" ht="18" hidden="1" customHeight="1" x14ac:dyDescent="0.2">
      <c r="A220" s="85"/>
      <c r="B220" s="79"/>
      <c r="C220" s="21" t="s">
        <v>10</v>
      </c>
      <c r="D220" s="13">
        <f>E220+G220</f>
        <v>0</v>
      </c>
      <c r="E220" s="14"/>
      <c r="F220" s="14"/>
      <c r="G220" s="14"/>
      <c r="H220" s="51">
        <f t="shared" si="48"/>
        <v>0</v>
      </c>
      <c r="I220" s="49"/>
      <c r="J220" s="49">
        <v>0</v>
      </c>
      <c r="K220" s="37">
        <v>0</v>
      </c>
    </row>
    <row r="221" spans="1:11" ht="18" customHeight="1" x14ac:dyDescent="0.2">
      <c r="A221" s="85"/>
      <c r="B221" s="79"/>
      <c r="C221" s="21" t="s">
        <v>81</v>
      </c>
      <c r="D221" s="13"/>
      <c r="E221" s="14"/>
      <c r="F221" s="14"/>
      <c r="G221" s="14"/>
      <c r="H221" s="51">
        <f t="shared" si="48"/>
        <v>3892</v>
      </c>
      <c r="I221" s="49">
        <v>3892</v>
      </c>
      <c r="J221" s="49">
        <v>0</v>
      </c>
      <c r="K221" s="37">
        <v>0</v>
      </c>
    </row>
    <row r="222" spans="1:11" ht="18" hidden="1" customHeight="1" x14ac:dyDescent="0.2">
      <c r="A222" s="85"/>
      <c r="B222" s="79"/>
      <c r="C222" s="21" t="s">
        <v>11</v>
      </c>
      <c r="D222" s="13"/>
      <c r="E222" s="14"/>
      <c r="F222" s="14"/>
      <c r="G222" s="14"/>
      <c r="H222" s="51">
        <f t="shared" ref="H222" si="49">I222+K222</f>
        <v>0</v>
      </c>
      <c r="I222" s="49"/>
      <c r="J222" s="49">
        <v>0</v>
      </c>
      <c r="K222" s="37">
        <v>0</v>
      </c>
    </row>
    <row r="223" spans="1:11" ht="18" customHeight="1" x14ac:dyDescent="0.2">
      <c r="A223" s="86"/>
      <c r="B223" s="80"/>
      <c r="C223" s="21" t="s">
        <v>5</v>
      </c>
      <c r="D223" s="13">
        <f>E223+G223</f>
        <v>898</v>
      </c>
      <c r="E223" s="14">
        <v>898</v>
      </c>
      <c r="F223" s="14"/>
      <c r="G223" s="14"/>
      <c r="H223" s="51">
        <f t="shared" si="48"/>
        <v>3400</v>
      </c>
      <c r="I223" s="49">
        <v>3400</v>
      </c>
      <c r="J223" s="49">
        <v>0</v>
      </c>
      <c r="K223" s="37">
        <v>0</v>
      </c>
    </row>
    <row r="224" spans="1:11" ht="29.45" hidden="1" customHeight="1" x14ac:dyDescent="0.2">
      <c r="A224" s="62">
        <v>2</v>
      </c>
      <c r="B224" s="63" t="s">
        <v>28</v>
      </c>
      <c r="C224" s="21" t="s">
        <v>3</v>
      </c>
      <c r="D224" s="26">
        <f>E224+G224</f>
        <v>0</v>
      </c>
      <c r="E224" s="18"/>
      <c r="F224" s="18"/>
      <c r="G224" s="18"/>
      <c r="H224" s="52">
        <f t="shared" si="48"/>
        <v>0</v>
      </c>
      <c r="I224" s="53">
        <v>0</v>
      </c>
      <c r="J224" s="53">
        <v>0</v>
      </c>
      <c r="K224" s="40"/>
    </row>
    <row r="225" spans="1:11" ht="32.450000000000003" customHeight="1" x14ac:dyDescent="0.2">
      <c r="A225" s="69">
        <v>5</v>
      </c>
      <c r="B225" s="68" t="s">
        <v>31</v>
      </c>
      <c r="C225" s="21" t="s">
        <v>8</v>
      </c>
      <c r="D225" s="26"/>
      <c r="E225" s="18"/>
      <c r="F225" s="18"/>
      <c r="G225" s="18"/>
      <c r="H225" s="52">
        <f t="shared" ref="H225" si="50">I225+K225</f>
        <v>2500</v>
      </c>
      <c r="I225" s="53">
        <v>2500</v>
      </c>
      <c r="J225" s="53">
        <v>0</v>
      </c>
      <c r="K225" s="40">
        <v>0</v>
      </c>
    </row>
    <row r="226" spans="1:11" ht="25.15" customHeight="1" x14ac:dyDescent="0.2">
      <c r="A226" s="75" t="s">
        <v>19</v>
      </c>
      <c r="B226" s="75"/>
      <c r="C226" s="76"/>
      <c r="D226" s="10">
        <f>E226+G226</f>
        <v>359714</v>
      </c>
      <c r="E226" s="10">
        <f>E228+E234+E237</f>
        <v>358498</v>
      </c>
      <c r="F226" s="10">
        <f>F228+F234+F237</f>
        <v>228717</v>
      </c>
      <c r="G226" s="10">
        <f>G228+G234+G237</f>
        <v>1216</v>
      </c>
      <c r="H226" s="48">
        <f t="shared" si="48"/>
        <v>426167</v>
      </c>
      <c r="I226" s="48">
        <f>I228+I234+I237</f>
        <v>426167</v>
      </c>
      <c r="J226" s="48">
        <f>J228+J234+J237</f>
        <v>365588</v>
      </c>
      <c r="K226" s="39">
        <f>K228+K234+K237</f>
        <v>0</v>
      </c>
    </row>
    <row r="227" spans="1:11" ht="15" hidden="1" customHeight="1" thickBot="1" x14ac:dyDescent="0.25">
      <c r="A227" s="72"/>
      <c r="B227" s="72"/>
      <c r="C227" s="73"/>
      <c r="D227" s="11"/>
      <c r="E227" s="12"/>
      <c r="F227" s="12"/>
      <c r="G227" s="12"/>
      <c r="H227" s="52"/>
      <c r="I227" s="53"/>
      <c r="J227" s="53"/>
      <c r="K227" s="40"/>
    </row>
    <row r="228" spans="1:11" ht="18" customHeight="1" x14ac:dyDescent="0.2">
      <c r="A228" s="77">
        <v>1</v>
      </c>
      <c r="B228" s="74" t="s">
        <v>27</v>
      </c>
      <c r="C228" s="25"/>
      <c r="D228" s="12">
        <f t="shared" ref="D228:D238" si="51">E228+G228</f>
        <v>344543</v>
      </c>
      <c r="E228" s="12">
        <f>SUM(E229:E233)</f>
        <v>343327</v>
      </c>
      <c r="F228" s="12">
        <f>SUM(F229:F233)</f>
        <v>228301</v>
      </c>
      <c r="G228" s="12">
        <f>SUM(G229:G233)</f>
        <v>1216</v>
      </c>
      <c r="H228" s="53">
        <f t="shared" ref="H228:H238" si="52">I228+K228</f>
        <v>422737</v>
      </c>
      <c r="I228" s="53">
        <f>SUM(I229:I233)</f>
        <v>422737</v>
      </c>
      <c r="J228" s="53">
        <f>SUM(J229:J233)</f>
        <v>365588</v>
      </c>
      <c r="K228" s="40">
        <f>SUM(K229:K233)</f>
        <v>0</v>
      </c>
    </row>
    <row r="229" spans="1:11" ht="18" customHeight="1" x14ac:dyDescent="0.2">
      <c r="A229" s="77"/>
      <c r="B229" s="74"/>
      <c r="C229" s="21" t="s">
        <v>3</v>
      </c>
      <c r="D229" s="13">
        <f t="shared" si="51"/>
        <v>111720</v>
      </c>
      <c r="E229" s="14">
        <v>111720</v>
      </c>
      <c r="F229" s="14">
        <v>60820</v>
      </c>
      <c r="G229" s="14"/>
      <c r="H229" s="51">
        <f t="shared" si="52"/>
        <v>128940</v>
      </c>
      <c r="I229" s="49">
        <v>128940</v>
      </c>
      <c r="J229" s="49">
        <v>88300</v>
      </c>
      <c r="K229" s="37">
        <v>0</v>
      </c>
    </row>
    <row r="230" spans="1:11" ht="18" hidden="1" customHeight="1" x14ac:dyDescent="0.2">
      <c r="A230" s="77"/>
      <c r="B230" s="74"/>
      <c r="C230" s="21" t="s">
        <v>4</v>
      </c>
      <c r="D230" s="13">
        <f t="shared" si="51"/>
        <v>0</v>
      </c>
      <c r="E230" s="14"/>
      <c r="F230" s="14"/>
      <c r="G230" s="14"/>
      <c r="H230" s="51">
        <f t="shared" si="52"/>
        <v>0</v>
      </c>
      <c r="I230" s="49"/>
      <c r="J230" s="49"/>
      <c r="K230" s="37"/>
    </row>
    <row r="231" spans="1:11" ht="18" customHeight="1" x14ac:dyDescent="0.2">
      <c r="A231" s="77"/>
      <c r="B231" s="74"/>
      <c r="C231" s="21" t="s">
        <v>10</v>
      </c>
      <c r="D231" s="13">
        <f t="shared" si="51"/>
        <v>224677</v>
      </c>
      <c r="E231" s="14">
        <v>223461</v>
      </c>
      <c r="F231" s="14">
        <v>167481</v>
      </c>
      <c r="G231" s="14">
        <v>1216</v>
      </c>
      <c r="H231" s="51">
        <f t="shared" si="52"/>
        <v>286695</v>
      </c>
      <c r="I231" s="49">
        <v>286695</v>
      </c>
      <c r="J231" s="49">
        <v>276958</v>
      </c>
      <c r="K231" s="37">
        <v>0</v>
      </c>
    </row>
    <row r="232" spans="1:11" ht="18" hidden="1" customHeight="1" x14ac:dyDescent="0.2">
      <c r="A232" s="77"/>
      <c r="B232" s="74"/>
      <c r="C232" s="21" t="s">
        <v>11</v>
      </c>
      <c r="D232" s="13">
        <f t="shared" si="51"/>
        <v>0</v>
      </c>
      <c r="E232" s="14"/>
      <c r="F232" s="14"/>
      <c r="G232" s="14"/>
      <c r="H232" s="51">
        <f t="shared" si="52"/>
        <v>0</v>
      </c>
      <c r="I232" s="49"/>
      <c r="J232" s="49"/>
      <c r="K232" s="37">
        <v>0</v>
      </c>
    </row>
    <row r="233" spans="1:11" ht="18" customHeight="1" x14ac:dyDescent="0.2">
      <c r="A233" s="77"/>
      <c r="B233" s="74"/>
      <c r="C233" s="21" t="s">
        <v>5</v>
      </c>
      <c r="D233" s="13">
        <f t="shared" si="51"/>
        <v>8146</v>
      </c>
      <c r="E233" s="14">
        <v>8146</v>
      </c>
      <c r="F233" s="14"/>
      <c r="G233" s="14"/>
      <c r="H233" s="51">
        <f t="shared" si="52"/>
        <v>7102</v>
      </c>
      <c r="I233" s="49">
        <v>7102</v>
      </c>
      <c r="J233" s="49">
        <v>330</v>
      </c>
      <c r="K233" s="37">
        <v>0</v>
      </c>
    </row>
    <row r="234" spans="1:11" ht="18" customHeight="1" x14ac:dyDescent="0.2">
      <c r="A234" s="77">
        <v>4</v>
      </c>
      <c r="B234" s="74" t="s">
        <v>30</v>
      </c>
      <c r="C234" s="70"/>
      <c r="D234" s="12">
        <f t="shared" si="51"/>
        <v>14456</v>
      </c>
      <c r="E234" s="12">
        <f>SUM(E235:E236)</f>
        <v>14456</v>
      </c>
      <c r="F234" s="12">
        <f>SUM(F235:F237)</f>
        <v>416</v>
      </c>
      <c r="G234" s="12">
        <f>SUM(G235:G237)</f>
        <v>0</v>
      </c>
      <c r="H234" s="53">
        <f t="shared" si="52"/>
        <v>250</v>
      </c>
      <c r="I234" s="53">
        <f>+I235+I236</f>
        <v>250</v>
      </c>
      <c r="J234" s="53">
        <f>SUM(J235:J237)</f>
        <v>0</v>
      </c>
      <c r="K234" s="40">
        <f>SUM(K235:K237)</f>
        <v>0</v>
      </c>
    </row>
    <row r="235" spans="1:11" ht="18" customHeight="1" x14ac:dyDescent="0.2">
      <c r="A235" s="77"/>
      <c r="B235" s="74"/>
      <c r="C235" s="70" t="s">
        <v>3</v>
      </c>
      <c r="D235" s="26">
        <f t="shared" si="51"/>
        <v>14456</v>
      </c>
      <c r="E235" s="14">
        <v>14456</v>
      </c>
      <c r="F235" s="14">
        <v>416</v>
      </c>
      <c r="G235" s="14"/>
      <c r="H235" s="51">
        <f t="shared" si="52"/>
        <v>250</v>
      </c>
      <c r="I235" s="49">
        <v>250</v>
      </c>
      <c r="J235" s="49">
        <v>0</v>
      </c>
      <c r="K235" s="37">
        <v>0</v>
      </c>
    </row>
    <row r="236" spans="1:11" ht="39.75" hidden="1" customHeight="1" x14ac:dyDescent="0.2">
      <c r="A236" s="77"/>
      <c r="B236" s="74"/>
      <c r="C236" s="70" t="s">
        <v>8</v>
      </c>
      <c r="D236" s="26">
        <f t="shared" si="51"/>
        <v>0</v>
      </c>
      <c r="E236" s="14"/>
      <c r="F236" s="14"/>
      <c r="G236" s="14"/>
      <c r="H236" s="51">
        <f t="shared" si="52"/>
        <v>0</v>
      </c>
      <c r="I236" s="49"/>
      <c r="J236" s="49">
        <v>0</v>
      </c>
      <c r="K236" s="37">
        <v>0</v>
      </c>
    </row>
    <row r="237" spans="1:11" ht="31.9" customHeight="1" x14ac:dyDescent="0.2">
      <c r="A237" s="62">
        <v>5</v>
      </c>
      <c r="B237" s="63" t="s">
        <v>31</v>
      </c>
      <c r="C237" s="21" t="s">
        <v>8</v>
      </c>
      <c r="D237" s="11">
        <f t="shared" si="51"/>
        <v>715</v>
      </c>
      <c r="E237" s="12">
        <v>715</v>
      </c>
      <c r="F237" s="15"/>
      <c r="G237" s="15"/>
      <c r="H237" s="52">
        <f t="shared" si="52"/>
        <v>3180</v>
      </c>
      <c r="I237" s="53">
        <v>3180</v>
      </c>
      <c r="J237" s="53">
        <v>0</v>
      </c>
      <c r="K237" s="40">
        <v>0</v>
      </c>
    </row>
    <row r="238" spans="1:11" ht="33" customHeight="1" x14ac:dyDescent="0.2">
      <c r="A238" s="75" t="s">
        <v>85</v>
      </c>
      <c r="B238" s="75"/>
      <c r="C238" s="76"/>
      <c r="D238" s="10">
        <f t="shared" si="51"/>
        <v>202480</v>
      </c>
      <c r="E238" s="10">
        <f>E240+E246+E249</f>
        <v>202480</v>
      </c>
      <c r="F238" s="10">
        <f>F240+F246+F249</f>
        <v>126017</v>
      </c>
      <c r="G238" s="10">
        <f>G240+G246+G249</f>
        <v>0</v>
      </c>
      <c r="H238" s="48">
        <f t="shared" si="52"/>
        <v>62380</v>
      </c>
      <c r="I238" s="48">
        <f>I240+I246+I249</f>
        <v>62380</v>
      </c>
      <c r="J238" s="48">
        <f>J240+J246+J249</f>
        <v>35860</v>
      </c>
      <c r="K238" s="39">
        <f>K240+K246+K249</f>
        <v>0</v>
      </c>
    </row>
    <row r="239" spans="1:11" ht="15" hidden="1" customHeight="1" x14ac:dyDescent="0.2">
      <c r="A239" s="72"/>
      <c r="B239" s="72"/>
      <c r="C239" s="73"/>
      <c r="D239" s="11"/>
      <c r="E239" s="12"/>
      <c r="F239" s="12"/>
      <c r="G239" s="12"/>
      <c r="H239" s="52"/>
      <c r="I239" s="53"/>
      <c r="J239" s="53"/>
      <c r="K239" s="40"/>
    </row>
    <row r="240" spans="1:11" ht="18" customHeight="1" x14ac:dyDescent="0.2">
      <c r="A240" s="77">
        <v>1</v>
      </c>
      <c r="B240" s="74" t="s">
        <v>82</v>
      </c>
      <c r="C240" s="24"/>
      <c r="D240" s="12">
        <f t="shared" ref="D240:D250" si="53">E240+G240</f>
        <v>195641</v>
      </c>
      <c r="E240" s="12">
        <f>E241+E242+E243+E244+E245</f>
        <v>195641</v>
      </c>
      <c r="F240" s="12">
        <f>F241+F242+F243+F244+F245</f>
        <v>125842</v>
      </c>
      <c r="G240" s="12">
        <f>G241+G242+G243+G244+G245</f>
        <v>0</v>
      </c>
      <c r="H240" s="53">
        <f t="shared" ref="H240:H250" si="54">I240+K240</f>
        <v>59880</v>
      </c>
      <c r="I240" s="53">
        <f>I241+I242+I243+I244+I245</f>
        <v>59880</v>
      </c>
      <c r="J240" s="53">
        <f>J241+J242+J243+J244+J245</f>
        <v>35860</v>
      </c>
      <c r="K240" s="40">
        <f>K241+K242+K243+K244+K245</f>
        <v>0</v>
      </c>
    </row>
    <row r="241" spans="1:11" ht="18" customHeight="1" x14ac:dyDescent="0.2">
      <c r="A241" s="77"/>
      <c r="B241" s="74"/>
      <c r="C241" s="21" t="s">
        <v>3</v>
      </c>
      <c r="D241" s="13">
        <f t="shared" si="53"/>
        <v>61366</v>
      </c>
      <c r="E241" s="14">
        <v>61366</v>
      </c>
      <c r="F241" s="14">
        <v>29092</v>
      </c>
      <c r="G241" s="14"/>
      <c r="H241" s="51">
        <f t="shared" si="54"/>
        <v>47090</v>
      </c>
      <c r="I241" s="49">
        <v>47090</v>
      </c>
      <c r="J241" s="49">
        <v>24975</v>
      </c>
      <c r="K241" s="37">
        <v>0</v>
      </c>
    </row>
    <row r="242" spans="1:11" ht="18" hidden="1" customHeight="1" x14ac:dyDescent="0.2">
      <c r="A242" s="77"/>
      <c r="B242" s="74"/>
      <c r="C242" s="21" t="s">
        <v>4</v>
      </c>
      <c r="D242" s="13">
        <f t="shared" si="53"/>
        <v>0</v>
      </c>
      <c r="E242" s="14"/>
      <c r="F242" s="14"/>
      <c r="G242" s="14"/>
      <c r="H242" s="51">
        <f t="shared" si="54"/>
        <v>0</v>
      </c>
      <c r="I242" s="49"/>
      <c r="J242" s="49"/>
      <c r="K242" s="37"/>
    </row>
    <row r="243" spans="1:11" ht="18" customHeight="1" x14ac:dyDescent="0.2">
      <c r="A243" s="77"/>
      <c r="B243" s="74"/>
      <c r="C243" s="21" t="s">
        <v>10</v>
      </c>
      <c r="D243" s="13">
        <f t="shared" si="53"/>
        <v>129140</v>
      </c>
      <c r="E243" s="14">
        <v>129140</v>
      </c>
      <c r="F243" s="14">
        <v>96750</v>
      </c>
      <c r="G243" s="14"/>
      <c r="H243" s="51">
        <f t="shared" si="54"/>
        <v>11290</v>
      </c>
      <c r="I243" s="49">
        <v>11290</v>
      </c>
      <c r="J243" s="49">
        <v>10695</v>
      </c>
      <c r="K243" s="37">
        <v>0</v>
      </c>
    </row>
    <row r="244" spans="1:11" ht="18" hidden="1" customHeight="1" x14ac:dyDescent="0.2">
      <c r="A244" s="77"/>
      <c r="B244" s="74"/>
      <c r="C244" s="21" t="s">
        <v>11</v>
      </c>
      <c r="D244" s="13">
        <f t="shared" si="53"/>
        <v>0</v>
      </c>
      <c r="E244" s="14"/>
      <c r="F244" s="14"/>
      <c r="G244" s="14"/>
      <c r="H244" s="51">
        <f t="shared" si="54"/>
        <v>0</v>
      </c>
      <c r="I244" s="49"/>
      <c r="J244" s="49"/>
      <c r="K244" s="37">
        <v>0</v>
      </c>
    </row>
    <row r="245" spans="1:11" ht="18" customHeight="1" x14ac:dyDescent="0.2">
      <c r="A245" s="77"/>
      <c r="B245" s="74"/>
      <c r="C245" s="21" t="s">
        <v>5</v>
      </c>
      <c r="D245" s="13">
        <f t="shared" si="53"/>
        <v>5135</v>
      </c>
      <c r="E245" s="14">
        <v>5135</v>
      </c>
      <c r="F245" s="14"/>
      <c r="G245" s="14"/>
      <c r="H245" s="51">
        <f t="shared" si="54"/>
        <v>1500</v>
      </c>
      <c r="I245" s="49">
        <v>1500</v>
      </c>
      <c r="J245" s="49">
        <v>190</v>
      </c>
      <c r="K245" s="37">
        <v>0</v>
      </c>
    </row>
    <row r="246" spans="1:11" ht="18" hidden="1" customHeight="1" x14ac:dyDescent="0.2">
      <c r="A246" s="77">
        <v>4</v>
      </c>
      <c r="B246" s="74" t="s">
        <v>30</v>
      </c>
      <c r="C246" s="21"/>
      <c r="D246" s="11">
        <f t="shared" si="53"/>
        <v>6116</v>
      </c>
      <c r="E246" s="12">
        <f>E247+E248</f>
        <v>6116</v>
      </c>
      <c r="F246" s="12">
        <f>F247+F248</f>
        <v>175</v>
      </c>
      <c r="G246" s="12">
        <f>G247+G248</f>
        <v>0</v>
      </c>
      <c r="H246" s="52">
        <f t="shared" si="54"/>
        <v>0</v>
      </c>
      <c r="I246" s="53"/>
      <c r="J246" s="53">
        <f>J247+J248</f>
        <v>0</v>
      </c>
      <c r="K246" s="40">
        <f>K247+K248</f>
        <v>0</v>
      </c>
    </row>
    <row r="247" spans="1:11" ht="18" hidden="1" customHeight="1" x14ac:dyDescent="0.2">
      <c r="A247" s="77"/>
      <c r="B247" s="74"/>
      <c r="C247" s="21" t="s">
        <v>6</v>
      </c>
      <c r="D247" s="13">
        <f t="shared" si="53"/>
        <v>43</v>
      </c>
      <c r="E247" s="14">
        <v>43</v>
      </c>
      <c r="F247" s="15"/>
      <c r="G247" s="15"/>
      <c r="H247" s="51">
        <f t="shared" si="54"/>
        <v>0</v>
      </c>
      <c r="I247" s="49"/>
      <c r="J247" s="49"/>
      <c r="K247" s="37"/>
    </row>
    <row r="248" spans="1:11" ht="27" hidden="1" customHeight="1" x14ac:dyDescent="0.2">
      <c r="A248" s="77"/>
      <c r="B248" s="74"/>
      <c r="C248" s="21" t="s">
        <v>8</v>
      </c>
      <c r="D248" s="13">
        <f t="shared" si="53"/>
        <v>6073</v>
      </c>
      <c r="E248" s="14">
        <v>6073</v>
      </c>
      <c r="F248" s="14">
        <v>175</v>
      </c>
      <c r="G248" s="14"/>
      <c r="H248" s="52">
        <f t="shared" si="54"/>
        <v>0</v>
      </c>
      <c r="I248" s="53"/>
      <c r="J248" s="53">
        <v>0</v>
      </c>
      <c r="K248" s="40">
        <v>0</v>
      </c>
    </row>
    <row r="249" spans="1:11" ht="30" customHeight="1" x14ac:dyDescent="0.2">
      <c r="A249" s="62">
        <v>5</v>
      </c>
      <c r="B249" s="63" t="s">
        <v>31</v>
      </c>
      <c r="C249" s="21" t="s">
        <v>8</v>
      </c>
      <c r="D249" s="11">
        <f t="shared" si="53"/>
        <v>723</v>
      </c>
      <c r="E249" s="12">
        <v>723</v>
      </c>
      <c r="F249" s="12"/>
      <c r="G249" s="12"/>
      <c r="H249" s="52">
        <f t="shared" si="54"/>
        <v>2500</v>
      </c>
      <c r="I249" s="53">
        <v>2500</v>
      </c>
      <c r="J249" s="53">
        <v>0</v>
      </c>
      <c r="K249" s="40">
        <v>0</v>
      </c>
    </row>
    <row r="250" spans="1:11" ht="21" customHeight="1" x14ac:dyDescent="0.2">
      <c r="A250" s="75" t="s">
        <v>92</v>
      </c>
      <c r="B250" s="75"/>
      <c r="C250" s="76"/>
      <c r="D250" s="10">
        <f t="shared" si="53"/>
        <v>260769</v>
      </c>
      <c r="E250" s="10">
        <f>E252+E260+E261</f>
        <v>258948</v>
      </c>
      <c r="F250" s="10">
        <f>F252+F260+F261</f>
        <v>166171</v>
      </c>
      <c r="G250" s="10">
        <f>G252+G260+G261</f>
        <v>1821</v>
      </c>
      <c r="H250" s="48">
        <f t="shared" si="54"/>
        <v>327738</v>
      </c>
      <c r="I250" s="48">
        <f>I252+I258+I261</f>
        <v>327738</v>
      </c>
      <c r="J250" s="48">
        <f>J252+J260+J261</f>
        <v>280361</v>
      </c>
      <c r="K250" s="39">
        <f>K252+K260+K261</f>
        <v>0</v>
      </c>
    </row>
    <row r="251" spans="1:11" ht="15" hidden="1" customHeight="1" x14ac:dyDescent="0.2">
      <c r="A251" s="72"/>
      <c r="B251" s="72"/>
      <c r="C251" s="73"/>
      <c r="D251" s="11"/>
      <c r="E251" s="12"/>
      <c r="F251" s="12"/>
      <c r="G251" s="12"/>
      <c r="H251" s="52"/>
      <c r="I251" s="53"/>
      <c r="J251" s="53"/>
      <c r="K251" s="40"/>
    </row>
    <row r="252" spans="1:11" ht="18" customHeight="1" x14ac:dyDescent="0.2">
      <c r="A252" s="77">
        <v>1</v>
      </c>
      <c r="B252" s="74" t="s">
        <v>82</v>
      </c>
      <c r="C252" s="21"/>
      <c r="D252" s="11">
        <f t="shared" ref="D252:D262" si="55">E252+G252</f>
        <v>249283</v>
      </c>
      <c r="E252" s="12">
        <f>E253+E254+E255+E257</f>
        <v>247462</v>
      </c>
      <c r="F252" s="12">
        <f>F253+F254+F255+F257</f>
        <v>165893</v>
      </c>
      <c r="G252" s="12">
        <f>G253+G254+G255+G257</f>
        <v>1821</v>
      </c>
      <c r="H252" s="52">
        <f t="shared" ref="H252:H262" si="56">I252+K252</f>
        <v>324568</v>
      </c>
      <c r="I252" s="53">
        <f>I253+I254+I255+I257+I256</f>
        <v>324568</v>
      </c>
      <c r="J252" s="53">
        <f t="shared" ref="J252:K252" si="57">J253+J254+J255+J257+J256</f>
        <v>280361</v>
      </c>
      <c r="K252" s="40">
        <f t="shared" si="57"/>
        <v>0</v>
      </c>
    </row>
    <row r="253" spans="1:11" ht="18" customHeight="1" x14ac:dyDescent="0.2">
      <c r="A253" s="77"/>
      <c r="B253" s="74"/>
      <c r="C253" s="21" t="s">
        <v>3</v>
      </c>
      <c r="D253" s="13">
        <f t="shared" si="55"/>
        <v>81244</v>
      </c>
      <c r="E253" s="14">
        <v>81244</v>
      </c>
      <c r="F253" s="14">
        <v>43310</v>
      </c>
      <c r="G253" s="14"/>
      <c r="H253" s="51">
        <f t="shared" si="56"/>
        <v>117766</v>
      </c>
      <c r="I253" s="49">
        <v>117766</v>
      </c>
      <c r="J253" s="49">
        <v>80851</v>
      </c>
      <c r="K253" s="37">
        <v>0</v>
      </c>
    </row>
    <row r="254" spans="1:11" ht="18" hidden="1" customHeight="1" x14ac:dyDescent="0.2">
      <c r="A254" s="77"/>
      <c r="B254" s="74"/>
      <c r="C254" s="21" t="s">
        <v>4</v>
      </c>
      <c r="D254" s="13">
        <f t="shared" si="55"/>
        <v>0</v>
      </c>
      <c r="E254" s="14"/>
      <c r="F254" s="14"/>
      <c r="G254" s="14"/>
      <c r="H254" s="51">
        <f t="shared" si="56"/>
        <v>0</v>
      </c>
      <c r="I254" s="49"/>
      <c r="J254" s="49"/>
      <c r="K254" s="37"/>
    </row>
    <row r="255" spans="1:11" ht="18" customHeight="1" x14ac:dyDescent="0.2">
      <c r="A255" s="77"/>
      <c r="B255" s="74"/>
      <c r="C255" s="21" t="s">
        <v>10</v>
      </c>
      <c r="D255" s="13">
        <f t="shared" si="55"/>
        <v>163930</v>
      </c>
      <c r="E255" s="14">
        <v>162109</v>
      </c>
      <c r="F255" s="14">
        <v>122583</v>
      </c>
      <c r="G255" s="14">
        <v>1821</v>
      </c>
      <c r="H255" s="51">
        <f t="shared" si="56"/>
        <v>206235</v>
      </c>
      <c r="I255" s="49">
        <v>206235</v>
      </c>
      <c r="J255" s="49">
        <v>199447</v>
      </c>
      <c r="K255" s="37">
        <v>0</v>
      </c>
    </row>
    <row r="256" spans="1:11" ht="18" hidden="1" customHeight="1" x14ac:dyDescent="0.2">
      <c r="A256" s="77"/>
      <c r="B256" s="74"/>
      <c r="C256" s="21" t="s">
        <v>11</v>
      </c>
      <c r="D256" s="13"/>
      <c r="E256" s="14"/>
      <c r="F256" s="14"/>
      <c r="G256" s="14"/>
      <c r="H256" s="51">
        <f t="shared" ref="H256" si="58">I256+K256</f>
        <v>0</v>
      </c>
      <c r="I256" s="49"/>
      <c r="J256" s="49"/>
      <c r="K256" s="37">
        <v>0</v>
      </c>
    </row>
    <row r="257" spans="1:11" ht="17.649999999999999" customHeight="1" x14ac:dyDescent="0.2">
      <c r="A257" s="77"/>
      <c r="B257" s="74"/>
      <c r="C257" s="21" t="s">
        <v>5</v>
      </c>
      <c r="D257" s="13">
        <f t="shared" si="55"/>
        <v>4109</v>
      </c>
      <c r="E257" s="14">
        <v>4109</v>
      </c>
      <c r="F257" s="14"/>
      <c r="G257" s="14"/>
      <c r="H257" s="51">
        <f t="shared" si="56"/>
        <v>567</v>
      </c>
      <c r="I257" s="49">
        <v>567</v>
      </c>
      <c r="J257" s="49">
        <v>63</v>
      </c>
      <c r="K257" s="37">
        <v>0</v>
      </c>
    </row>
    <row r="258" spans="1:11" ht="18" hidden="1" customHeight="1" x14ac:dyDescent="0.2">
      <c r="A258" s="78">
        <v>4</v>
      </c>
      <c r="B258" s="78" t="s">
        <v>30</v>
      </c>
      <c r="C258" s="21"/>
      <c r="D258" s="13"/>
      <c r="E258" s="14"/>
      <c r="F258" s="14"/>
      <c r="G258" s="14"/>
      <c r="H258" s="52">
        <f t="shared" si="56"/>
        <v>0</v>
      </c>
      <c r="I258" s="53">
        <f>+I259+I260</f>
        <v>0</v>
      </c>
      <c r="J258" s="53">
        <v>0</v>
      </c>
      <c r="K258" s="40">
        <v>0</v>
      </c>
    </row>
    <row r="259" spans="1:11" ht="18" hidden="1" customHeight="1" x14ac:dyDescent="0.2">
      <c r="A259" s="79"/>
      <c r="B259" s="79"/>
      <c r="C259" s="21" t="s">
        <v>3</v>
      </c>
      <c r="D259" s="13"/>
      <c r="E259" s="14"/>
      <c r="F259" s="14"/>
      <c r="G259" s="14"/>
      <c r="H259" s="51">
        <f t="shared" si="56"/>
        <v>0</v>
      </c>
      <c r="I259" s="49"/>
      <c r="J259" s="49">
        <v>0</v>
      </c>
      <c r="K259" s="37">
        <v>0</v>
      </c>
    </row>
    <row r="260" spans="1:11" ht="18" hidden="1" customHeight="1" x14ac:dyDescent="0.2">
      <c r="A260" s="80"/>
      <c r="B260" s="80"/>
      <c r="C260" s="21" t="s">
        <v>8</v>
      </c>
      <c r="D260" s="11">
        <f t="shared" si="55"/>
        <v>9681</v>
      </c>
      <c r="E260" s="12">
        <v>9681</v>
      </c>
      <c r="F260" s="12">
        <v>278</v>
      </c>
      <c r="G260" s="12"/>
      <c r="H260" s="51">
        <f t="shared" si="56"/>
        <v>0</v>
      </c>
      <c r="I260" s="49"/>
      <c r="J260" s="49">
        <v>0</v>
      </c>
      <c r="K260" s="37">
        <v>0</v>
      </c>
    </row>
    <row r="261" spans="1:11" ht="33" customHeight="1" x14ac:dyDescent="0.2">
      <c r="A261" s="62">
        <v>5</v>
      </c>
      <c r="B261" s="63" t="s">
        <v>31</v>
      </c>
      <c r="C261" s="21" t="s">
        <v>8</v>
      </c>
      <c r="D261" s="11">
        <f t="shared" si="55"/>
        <v>1805</v>
      </c>
      <c r="E261" s="12">
        <v>1805</v>
      </c>
      <c r="F261" s="12"/>
      <c r="G261" s="12"/>
      <c r="H261" s="52">
        <f t="shared" si="56"/>
        <v>3170</v>
      </c>
      <c r="I261" s="53">
        <v>3170</v>
      </c>
      <c r="J261" s="53">
        <v>0</v>
      </c>
      <c r="K261" s="40">
        <v>0</v>
      </c>
    </row>
    <row r="262" spans="1:11" ht="22.9" customHeight="1" x14ac:dyDescent="0.2">
      <c r="A262" s="75" t="s">
        <v>94</v>
      </c>
      <c r="B262" s="75"/>
      <c r="C262" s="76"/>
      <c r="D262" s="10">
        <f t="shared" si="55"/>
        <v>248805</v>
      </c>
      <c r="E262" s="10">
        <f>E264+E270+E273</f>
        <v>248400</v>
      </c>
      <c r="F262" s="10">
        <f>F264+F270+F273</f>
        <v>157796</v>
      </c>
      <c r="G262" s="10">
        <f>G264+G270+G273</f>
        <v>405</v>
      </c>
      <c r="H262" s="48">
        <f t="shared" si="56"/>
        <v>173102</v>
      </c>
      <c r="I262" s="48">
        <f>I264+I270+I273</f>
        <v>173102</v>
      </c>
      <c r="J262" s="48">
        <f>J264+J270+J273</f>
        <v>151402</v>
      </c>
      <c r="K262" s="39">
        <f>K264+K270+K273</f>
        <v>0</v>
      </c>
    </row>
    <row r="263" spans="1:11" ht="15" hidden="1" customHeight="1" x14ac:dyDescent="0.2">
      <c r="A263" s="72"/>
      <c r="B263" s="72"/>
      <c r="C263" s="73"/>
      <c r="D263" s="11"/>
      <c r="E263" s="12"/>
      <c r="F263" s="12"/>
      <c r="G263" s="12"/>
      <c r="H263" s="52"/>
      <c r="I263" s="53"/>
      <c r="J263" s="53"/>
      <c r="K263" s="40"/>
    </row>
    <row r="264" spans="1:11" ht="18" customHeight="1" x14ac:dyDescent="0.2">
      <c r="A264" s="77">
        <v>1</v>
      </c>
      <c r="B264" s="74" t="s">
        <v>82</v>
      </c>
      <c r="C264" s="21"/>
      <c r="D264" s="26">
        <f t="shared" ref="D264:D274" si="59">E264+G264</f>
        <v>240678</v>
      </c>
      <c r="E264" s="12">
        <f>E265+E266+E267+E268+E269</f>
        <v>240273</v>
      </c>
      <c r="F264" s="12">
        <f>F265+F266+F267+F268+F269</f>
        <v>157592</v>
      </c>
      <c r="G264" s="12">
        <f>G265+G266+G267+G268+G269</f>
        <v>405</v>
      </c>
      <c r="H264" s="52">
        <f t="shared" ref="H264:H274" si="60">I264+K264</f>
        <v>171889</v>
      </c>
      <c r="I264" s="53">
        <f>I265+I266+I267+I268+I269</f>
        <v>171889</v>
      </c>
      <c r="J264" s="53">
        <f>J265+J266+J267+J268+J269</f>
        <v>151402</v>
      </c>
      <c r="K264" s="40">
        <f>K265+K266+K267+K268+K269</f>
        <v>0</v>
      </c>
    </row>
    <row r="265" spans="1:11" ht="17.649999999999999" customHeight="1" x14ac:dyDescent="0.2">
      <c r="A265" s="77"/>
      <c r="B265" s="74"/>
      <c r="C265" s="21" t="s">
        <v>3</v>
      </c>
      <c r="D265" s="13">
        <f t="shared" si="59"/>
        <v>75837</v>
      </c>
      <c r="E265" s="14">
        <v>75837</v>
      </c>
      <c r="F265" s="14">
        <v>35369</v>
      </c>
      <c r="G265" s="14"/>
      <c r="H265" s="51">
        <f t="shared" si="60"/>
        <v>59479</v>
      </c>
      <c r="I265" s="49">
        <v>59479</v>
      </c>
      <c r="J265" s="49">
        <v>41288</v>
      </c>
      <c r="K265" s="37">
        <v>0</v>
      </c>
    </row>
    <row r="266" spans="1:11" ht="18" hidden="1" customHeight="1" x14ac:dyDescent="0.2">
      <c r="A266" s="77"/>
      <c r="B266" s="74"/>
      <c r="C266" s="21" t="s">
        <v>4</v>
      </c>
      <c r="D266" s="13">
        <f t="shared" si="59"/>
        <v>0</v>
      </c>
      <c r="E266" s="14"/>
      <c r="F266" s="14"/>
      <c r="G266" s="14"/>
      <c r="H266" s="51">
        <f t="shared" si="60"/>
        <v>0</v>
      </c>
      <c r="I266" s="49"/>
      <c r="J266" s="49"/>
      <c r="K266" s="37"/>
    </row>
    <row r="267" spans="1:11" ht="17.649999999999999" customHeight="1" x14ac:dyDescent="0.2">
      <c r="A267" s="77"/>
      <c r="B267" s="74"/>
      <c r="C267" s="21" t="s">
        <v>10</v>
      </c>
      <c r="D267" s="13">
        <f t="shared" si="59"/>
        <v>163400</v>
      </c>
      <c r="E267" s="14">
        <v>162995</v>
      </c>
      <c r="F267" s="14">
        <v>122223</v>
      </c>
      <c r="G267" s="14">
        <v>405</v>
      </c>
      <c r="H267" s="51">
        <f t="shared" si="60"/>
        <v>112318</v>
      </c>
      <c r="I267" s="49">
        <v>112318</v>
      </c>
      <c r="J267" s="49">
        <v>110024</v>
      </c>
      <c r="K267" s="37">
        <v>0</v>
      </c>
    </row>
    <row r="268" spans="1:11" ht="18" hidden="1" customHeight="1" x14ac:dyDescent="0.2">
      <c r="A268" s="77"/>
      <c r="B268" s="74"/>
      <c r="C268" s="21" t="s">
        <v>11</v>
      </c>
      <c r="D268" s="13">
        <f t="shared" si="59"/>
        <v>0</v>
      </c>
      <c r="E268" s="14"/>
      <c r="F268" s="14"/>
      <c r="G268" s="14"/>
      <c r="H268" s="51">
        <f t="shared" si="60"/>
        <v>0</v>
      </c>
      <c r="I268" s="49"/>
      <c r="J268" s="49"/>
      <c r="K268" s="37">
        <v>0</v>
      </c>
    </row>
    <row r="269" spans="1:11" ht="17.649999999999999" customHeight="1" x14ac:dyDescent="0.2">
      <c r="A269" s="77"/>
      <c r="B269" s="74"/>
      <c r="C269" s="21" t="s">
        <v>5</v>
      </c>
      <c r="D269" s="13">
        <f t="shared" si="59"/>
        <v>1441</v>
      </c>
      <c r="E269" s="14">
        <v>1441</v>
      </c>
      <c r="F269" s="14"/>
      <c r="G269" s="14"/>
      <c r="H269" s="51">
        <f t="shared" si="60"/>
        <v>92</v>
      </c>
      <c r="I269" s="49">
        <v>92</v>
      </c>
      <c r="J269" s="49">
        <v>90</v>
      </c>
      <c r="K269" s="37">
        <v>0</v>
      </c>
    </row>
    <row r="270" spans="1:11" ht="18" hidden="1" customHeight="1" x14ac:dyDescent="0.2">
      <c r="A270" s="77">
        <v>4</v>
      </c>
      <c r="B270" s="74" t="s">
        <v>30</v>
      </c>
      <c r="C270" s="21"/>
      <c r="D270" s="11">
        <f t="shared" si="59"/>
        <v>7405</v>
      </c>
      <c r="E270" s="12">
        <f>E271+E272</f>
        <v>7405</v>
      </c>
      <c r="F270" s="12">
        <f>F271+F272</f>
        <v>204</v>
      </c>
      <c r="G270" s="12">
        <f>G271+G272</f>
        <v>0</v>
      </c>
      <c r="H270" s="52">
        <f t="shared" si="60"/>
        <v>0</v>
      </c>
      <c r="I270" s="53">
        <f>+I271+I272</f>
        <v>0</v>
      </c>
      <c r="J270" s="53">
        <v>0</v>
      </c>
      <c r="K270" s="40">
        <f>K271+K272</f>
        <v>0</v>
      </c>
    </row>
    <row r="271" spans="1:11" ht="18" hidden="1" customHeight="1" x14ac:dyDescent="0.2">
      <c r="A271" s="77"/>
      <c r="B271" s="74"/>
      <c r="C271" s="21" t="s">
        <v>8</v>
      </c>
      <c r="D271" s="13">
        <f t="shared" si="59"/>
        <v>261</v>
      </c>
      <c r="E271" s="14">
        <v>261</v>
      </c>
      <c r="F271" s="14"/>
      <c r="G271" s="14"/>
      <c r="H271" s="51">
        <f t="shared" si="60"/>
        <v>0</v>
      </c>
      <c r="I271" s="49"/>
      <c r="J271" s="49">
        <v>0</v>
      </c>
      <c r="K271" s="37">
        <v>0</v>
      </c>
    </row>
    <row r="272" spans="1:11" ht="18" hidden="1" customHeight="1" x14ac:dyDescent="0.2">
      <c r="A272" s="77"/>
      <c r="B272" s="74"/>
      <c r="C272" s="21" t="s">
        <v>3</v>
      </c>
      <c r="D272" s="13">
        <f t="shared" si="59"/>
        <v>7144</v>
      </c>
      <c r="E272" s="14">
        <v>7144</v>
      </c>
      <c r="F272" s="14">
        <v>204</v>
      </c>
      <c r="G272" s="14"/>
      <c r="H272" s="51">
        <f t="shared" si="60"/>
        <v>0</v>
      </c>
      <c r="I272" s="49"/>
      <c r="J272" s="49">
        <v>0</v>
      </c>
      <c r="K272" s="37">
        <v>0</v>
      </c>
    </row>
    <row r="273" spans="1:12" ht="30.75" customHeight="1" x14ac:dyDescent="0.2">
      <c r="A273" s="62">
        <v>5</v>
      </c>
      <c r="B273" s="63" t="s">
        <v>31</v>
      </c>
      <c r="C273" s="21" t="s">
        <v>8</v>
      </c>
      <c r="D273" s="11">
        <f t="shared" si="59"/>
        <v>722</v>
      </c>
      <c r="E273" s="12">
        <v>722</v>
      </c>
      <c r="F273" s="15"/>
      <c r="G273" s="15"/>
      <c r="H273" s="52">
        <f t="shared" si="60"/>
        <v>1213</v>
      </c>
      <c r="I273" s="53">
        <v>1213</v>
      </c>
      <c r="J273" s="53">
        <v>0</v>
      </c>
      <c r="K273" s="40">
        <v>0</v>
      </c>
    </row>
    <row r="274" spans="1:12" ht="22.9" customHeight="1" x14ac:dyDescent="0.2">
      <c r="A274" s="75" t="s">
        <v>91</v>
      </c>
      <c r="B274" s="75"/>
      <c r="C274" s="76"/>
      <c r="D274" s="10">
        <f t="shared" si="59"/>
        <v>272038</v>
      </c>
      <c r="E274" s="10">
        <f>E276+E282+E285</f>
        <v>271314</v>
      </c>
      <c r="F274" s="10">
        <f>F276+F282+F285</f>
        <v>171079</v>
      </c>
      <c r="G274" s="10">
        <f>G276+G282+G285</f>
        <v>724</v>
      </c>
      <c r="H274" s="48">
        <f t="shared" si="60"/>
        <v>409455</v>
      </c>
      <c r="I274" s="48">
        <f>I276+I282+I285</f>
        <v>409455</v>
      </c>
      <c r="J274" s="48">
        <f>J276+J282+J285</f>
        <v>329065</v>
      </c>
      <c r="K274" s="39">
        <f>K276+K282+K285</f>
        <v>0</v>
      </c>
    </row>
    <row r="275" spans="1:12" ht="15" hidden="1" customHeight="1" thickBot="1" x14ac:dyDescent="0.25">
      <c r="A275" s="72"/>
      <c r="B275" s="72"/>
      <c r="C275" s="73"/>
      <c r="D275" s="11"/>
      <c r="E275" s="12"/>
      <c r="F275" s="12"/>
      <c r="G275" s="12"/>
      <c r="H275" s="52"/>
      <c r="I275" s="53"/>
      <c r="J275" s="53"/>
      <c r="K275" s="40"/>
    </row>
    <row r="276" spans="1:12" ht="18" customHeight="1" x14ac:dyDescent="0.2">
      <c r="A276" s="77">
        <v>1</v>
      </c>
      <c r="B276" s="74" t="s">
        <v>82</v>
      </c>
      <c r="C276" s="21"/>
      <c r="D276" s="11">
        <f t="shared" ref="D276:D286" si="61">E276+G276</f>
        <v>261202</v>
      </c>
      <c r="E276" s="12">
        <f>E277+E278+E279+E280+E281</f>
        <v>260478</v>
      </c>
      <c r="F276" s="12">
        <f>F277+F278+F279+F280+F281</f>
        <v>170796</v>
      </c>
      <c r="G276" s="12">
        <f>G277+G278+G279+G280+G281</f>
        <v>724</v>
      </c>
      <c r="H276" s="52">
        <f t="shared" ref="H276:H286" si="62">I276+K276</f>
        <v>404455</v>
      </c>
      <c r="I276" s="53">
        <f>I277+I278+I279+I280+I281</f>
        <v>404455</v>
      </c>
      <c r="J276" s="53">
        <f>J277+J278+J279+J280+J281</f>
        <v>329065</v>
      </c>
      <c r="K276" s="40">
        <f>K277+K278+K279+K280+K281</f>
        <v>0</v>
      </c>
    </row>
    <row r="277" spans="1:12" ht="18" customHeight="1" x14ac:dyDescent="0.2">
      <c r="A277" s="77"/>
      <c r="B277" s="74"/>
      <c r="C277" s="21" t="s">
        <v>3</v>
      </c>
      <c r="D277" s="13">
        <f t="shared" si="61"/>
        <v>103462</v>
      </c>
      <c r="E277" s="14">
        <v>103462</v>
      </c>
      <c r="F277" s="14">
        <v>57069</v>
      </c>
      <c r="G277" s="14"/>
      <c r="H277" s="51">
        <f t="shared" si="62"/>
        <v>196270</v>
      </c>
      <c r="I277" s="49">
        <v>196270</v>
      </c>
      <c r="J277" s="49">
        <v>130170</v>
      </c>
      <c r="K277" s="37">
        <v>0</v>
      </c>
    </row>
    <row r="278" spans="1:12" ht="18" hidden="1" customHeight="1" x14ac:dyDescent="0.2">
      <c r="A278" s="77"/>
      <c r="B278" s="74"/>
      <c r="C278" s="21" t="s">
        <v>4</v>
      </c>
      <c r="D278" s="13">
        <f t="shared" si="61"/>
        <v>0</v>
      </c>
      <c r="E278" s="14"/>
      <c r="F278" s="14"/>
      <c r="G278" s="14"/>
      <c r="H278" s="51">
        <f t="shared" si="62"/>
        <v>0</v>
      </c>
      <c r="I278" s="49"/>
      <c r="J278" s="49"/>
      <c r="K278" s="37"/>
    </row>
    <row r="279" spans="1:12" ht="16.899999999999999" customHeight="1" x14ac:dyDescent="0.2">
      <c r="A279" s="77"/>
      <c r="B279" s="74"/>
      <c r="C279" s="21" t="s">
        <v>10</v>
      </c>
      <c r="D279" s="13">
        <f t="shared" si="61"/>
        <v>151992</v>
      </c>
      <c r="E279" s="14">
        <v>151268</v>
      </c>
      <c r="F279" s="14">
        <v>113727</v>
      </c>
      <c r="G279" s="14">
        <v>724</v>
      </c>
      <c r="H279" s="51">
        <f t="shared" si="62"/>
        <v>205785</v>
      </c>
      <c r="I279" s="49">
        <v>205785</v>
      </c>
      <c r="J279" s="49">
        <v>198505</v>
      </c>
      <c r="K279" s="37"/>
      <c r="L279" s="58" t="e">
        <f>#REF!+#REF!</f>
        <v>#REF!</v>
      </c>
    </row>
    <row r="280" spans="1:12" ht="18" hidden="1" customHeight="1" x14ac:dyDescent="0.2">
      <c r="A280" s="77"/>
      <c r="B280" s="74"/>
      <c r="C280" s="21" t="s">
        <v>11</v>
      </c>
      <c r="D280" s="13">
        <f t="shared" si="61"/>
        <v>0</v>
      </c>
      <c r="E280" s="14"/>
      <c r="F280" s="14"/>
      <c r="G280" s="14"/>
      <c r="H280" s="51">
        <f t="shared" si="62"/>
        <v>0</v>
      </c>
      <c r="I280" s="49"/>
      <c r="J280" s="49"/>
      <c r="K280" s="37">
        <v>0</v>
      </c>
    </row>
    <row r="281" spans="1:12" ht="17.649999999999999" customHeight="1" x14ac:dyDescent="0.2">
      <c r="A281" s="77"/>
      <c r="B281" s="74"/>
      <c r="C281" s="21" t="s">
        <v>5</v>
      </c>
      <c r="D281" s="13">
        <f t="shared" si="61"/>
        <v>5748</v>
      </c>
      <c r="E281" s="14">
        <v>5748</v>
      </c>
      <c r="F281" s="14"/>
      <c r="G281" s="14"/>
      <c r="H281" s="51">
        <f t="shared" si="62"/>
        <v>2400</v>
      </c>
      <c r="I281" s="49">
        <v>2400</v>
      </c>
      <c r="J281" s="49">
        <v>390</v>
      </c>
      <c r="K281" s="37">
        <v>0</v>
      </c>
    </row>
    <row r="282" spans="1:12" ht="18" hidden="1" customHeight="1" x14ac:dyDescent="0.2">
      <c r="A282" s="77">
        <v>4</v>
      </c>
      <c r="B282" s="74" t="s">
        <v>30</v>
      </c>
      <c r="C282" s="21"/>
      <c r="D282" s="11">
        <f t="shared" si="61"/>
        <v>10117</v>
      </c>
      <c r="E282" s="12">
        <f>E283+E284</f>
        <v>10117</v>
      </c>
      <c r="F282" s="12">
        <f>F283+F284</f>
        <v>283</v>
      </c>
      <c r="G282" s="12">
        <f>G283+G284</f>
        <v>0</v>
      </c>
      <c r="H282" s="52">
        <f t="shared" si="62"/>
        <v>0</v>
      </c>
      <c r="I282" s="53">
        <f>+I283+I284</f>
        <v>0</v>
      </c>
      <c r="J282" s="53">
        <f>J283+J284</f>
        <v>0</v>
      </c>
      <c r="K282" s="40">
        <f>K283+K284</f>
        <v>0</v>
      </c>
    </row>
    <row r="283" spans="1:12" ht="18" hidden="1" customHeight="1" x14ac:dyDescent="0.2">
      <c r="A283" s="77"/>
      <c r="B283" s="74"/>
      <c r="C283" s="21" t="s">
        <v>3</v>
      </c>
      <c r="D283" s="28">
        <f t="shared" si="61"/>
        <v>59</v>
      </c>
      <c r="E283" s="17">
        <v>59</v>
      </c>
      <c r="F283" s="17"/>
      <c r="G283" s="17"/>
      <c r="H283" s="51">
        <f t="shared" si="62"/>
        <v>0</v>
      </c>
      <c r="I283" s="49"/>
      <c r="J283" s="49">
        <v>0</v>
      </c>
      <c r="K283" s="37">
        <v>0</v>
      </c>
    </row>
    <row r="284" spans="1:12" ht="18" hidden="1" customHeight="1" x14ac:dyDescent="0.2">
      <c r="A284" s="77"/>
      <c r="B284" s="74"/>
      <c r="C284" s="21" t="s">
        <v>8</v>
      </c>
      <c r="D284" s="28">
        <f t="shared" si="61"/>
        <v>10058</v>
      </c>
      <c r="E284" s="17">
        <v>10058</v>
      </c>
      <c r="F284" s="17">
        <v>283</v>
      </c>
      <c r="G284" s="17"/>
      <c r="H284" s="51">
        <f t="shared" si="62"/>
        <v>0</v>
      </c>
      <c r="I284" s="49"/>
      <c r="J284" s="49">
        <v>0</v>
      </c>
      <c r="K284" s="37">
        <v>0</v>
      </c>
    </row>
    <row r="285" spans="1:12" ht="30" customHeight="1" x14ac:dyDescent="0.2">
      <c r="A285" s="62">
        <v>5</v>
      </c>
      <c r="B285" s="63" t="s">
        <v>31</v>
      </c>
      <c r="C285" s="21" t="s">
        <v>8</v>
      </c>
      <c r="D285" s="11">
        <f t="shared" si="61"/>
        <v>719</v>
      </c>
      <c r="E285" s="12">
        <v>719</v>
      </c>
      <c r="F285" s="15"/>
      <c r="G285" s="15"/>
      <c r="H285" s="52">
        <f t="shared" si="62"/>
        <v>5000</v>
      </c>
      <c r="I285" s="53">
        <v>5000</v>
      </c>
      <c r="J285" s="53">
        <v>0</v>
      </c>
      <c r="K285" s="40">
        <v>0</v>
      </c>
    </row>
    <row r="286" spans="1:12" ht="24" hidden="1" customHeight="1" x14ac:dyDescent="0.2">
      <c r="A286" s="75" t="s">
        <v>20</v>
      </c>
      <c r="B286" s="75"/>
      <c r="C286" s="76"/>
      <c r="D286" s="10">
        <f t="shared" si="61"/>
        <v>348586</v>
      </c>
      <c r="E286" s="10">
        <f>E288+E294+E297</f>
        <v>348586</v>
      </c>
      <c r="F286" s="10">
        <f>F288+F294+F297</f>
        <v>207284</v>
      </c>
      <c r="G286" s="10">
        <f>G288+G294+G297</f>
        <v>0</v>
      </c>
      <c r="H286" s="48">
        <f t="shared" si="62"/>
        <v>0</v>
      </c>
      <c r="I286" s="48">
        <f>I288+I294+I297</f>
        <v>0</v>
      </c>
      <c r="J286" s="48">
        <f>J288+J294+J297</f>
        <v>0</v>
      </c>
      <c r="K286" s="39">
        <f>K288+K294+K297</f>
        <v>0</v>
      </c>
    </row>
    <row r="287" spans="1:12" ht="15" hidden="1" customHeight="1" x14ac:dyDescent="0.2">
      <c r="A287" s="72"/>
      <c r="B287" s="72"/>
      <c r="C287" s="73"/>
      <c r="D287" s="11"/>
      <c r="E287" s="12"/>
      <c r="F287" s="12"/>
      <c r="G287" s="12"/>
      <c r="H287" s="52"/>
      <c r="I287" s="53"/>
      <c r="J287" s="53"/>
      <c r="K287" s="40"/>
    </row>
    <row r="288" spans="1:12" ht="18" hidden="1" customHeight="1" x14ac:dyDescent="0.2">
      <c r="A288" s="77">
        <v>1</v>
      </c>
      <c r="B288" s="74" t="s">
        <v>82</v>
      </c>
      <c r="C288" s="61"/>
      <c r="D288" s="11">
        <f t="shared" ref="D288:D298" si="63">E288+G288</f>
        <v>330228</v>
      </c>
      <c r="E288" s="12">
        <f>E289+E290+E291+E292+E293</f>
        <v>330228</v>
      </c>
      <c r="F288" s="12">
        <f>F289+F290+F291+F292+F293</f>
        <v>206778</v>
      </c>
      <c r="G288" s="12">
        <f>G289+G290+G291+G292+G293</f>
        <v>0</v>
      </c>
      <c r="H288" s="52">
        <f t="shared" ref="H288:H298" si="64">I288+K288</f>
        <v>0</v>
      </c>
      <c r="I288" s="53">
        <f>I289+I290+I291+I292+I293</f>
        <v>0</v>
      </c>
      <c r="J288" s="53">
        <f>J289+J290+J291+J292+J293</f>
        <v>0</v>
      </c>
      <c r="K288" s="40">
        <f>K289+K290+K291+K292+K293</f>
        <v>0</v>
      </c>
    </row>
    <row r="289" spans="1:11" ht="18" hidden="1" customHeight="1" x14ac:dyDescent="0.2">
      <c r="A289" s="77"/>
      <c r="B289" s="74"/>
      <c r="C289" s="21" t="s">
        <v>3</v>
      </c>
      <c r="D289" s="13">
        <f t="shared" si="63"/>
        <v>90170</v>
      </c>
      <c r="E289" s="14">
        <v>90170</v>
      </c>
      <c r="F289" s="14">
        <v>43730</v>
      </c>
      <c r="G289" s="14"/>
      <c r="H289" s="51">
        <f t="shared" si="64"/>
        <v>0</v>
      </c>
      <c r="I289" s="49"/>
      <c r="J289" s="49"/>
      <c r="K289" s="37">
        <v>0</v>
      </c>
    </row>
    <row r="290" spans="1:11" ht="18" hidden="1" customHeight="1" x14ac:dyDescent="0.2">
      <c r="A290" s="77"/>
      <c r="B290" s="74"/>
      <c r="C290" s="21" t="s">
        <v>4</v>
      </c>
      <c r="D290" s="13">
        <f t="shared" si="63"/>
        <v>0</v>
      </c>
      <c r="E290" s="14"/>
      <c r="F290" s="14"/>
      <c r="G290" s="14"/>
      <c r="H290" s="56">
        <f t="shared" si="64"/>
        <v>0</v>
      </c>
      <c r="I290" s="50"/>
      <c r="J290" s="50"/>
      <c r="K290" s="14"/>
    </row>
    <row r="291" spans="1:11" ht="18" hidden="1" customHeight="1" x14ac:dyDescent="0.2">
      <c r="A291" s="77"/>
      <c r="B291" s="74"/>
      <c r="C291" s="21" t="s">
        <v>10</v>
      </c>
      <c r="D291" s="13">
        <f t="shared" si="63"/>
        <v>222186</v>
      </c>
      <c r="E291" s="14">
        <v>222186</v>
      </c>
      <c r="F291" s="14">
        <v>163048</v>
      </c>
      <c r="G291" s="14"/>
      <c r="H291" s="51">
        <f t="shared" si="64"/>
        <v>0</v>
      </c>
      <c r="I291" s="49"/>
      <c r="J291" s="49"/>
      <c r="K291" s="37">
        <v>0</v>
      </c>
    </row>
    <row r="292" spans="1:11" ht="18" hidden="1" customHeight="1" x14ac:dyDescent="0.2">
      <c r="A292" s="77"/>
      <c r="B292" s="74"/>
      <c r="C292" s="21" t="s">
        <v>11</v>
      </c>
      <c r="D292" s="13">
        <f t="shared" si="63"/>
        <v>0</v>
      </c>
      <c r="E292" s="14"/>
      <c r="F292" s="14"/>
      <c r="G292" s="14"/>
      <c r="H292" s="51">
        <f t="shared" si="64"/>
        <v>0</v>
      </c>
      <c r="I292" s="49"/>
      <c r="J292" s="49"/>
      <c r="K292" s="37">
        <v>0</v>
      </c>
    </row>
    <row r="293" spans="1:11" ht="18" hidden="1" customHeight="1" x14ac:dyDescent="0.2">
      <c r="A293" s="77"/>
      <c r="B293" s="74"/>
      <c r="C293" s="21" t="s">
        <v>5</v>
      </c>
      <c r="D293" s="13">
        <f t="shared" si="63"/>
        <v>17872</v>
      </c>
      <c r="E293" s="14">
        <v>17872</v>
      </c>
      <c r="F293" s="14"/>
      <c r="G293" s="14"/>
      <c r="H293" s="51">
        <f t="shared" si="64"/>
        <v>0</v>
      </c>
      <c r="I293" s="49"/>
      <c r="J293" s="49">
        <v>0</v>
      </c>
      <c r="K293" s="37">
        <v>0</v>
      </c>
    </row>
    <row r="294" spans="1:11" ht="18" hidden="1" customHeight="1" x14ac:dyDescent="0.2">
      <c r="A294" s="77">
        <v>4</v>
      </c>
      <c r="B294" s="74" t="s">
        <v>30</v>
      </c>
      <c r="C294" s="21"/>
      <c r="D294" s="11">
        <f t="shared" si="63"/>
        <v>17995</v>
      </c>
      <c r="E294" s="12">
        <f>E295+E296</f>
        <v>17995</v>
      </c>
      <c r="F294" s="12">
        <f>F295+F296</f>
        <v>506</v>
      </c>
      <c r="G294" s="12">
        <f>G295+G296</f>
        <v>0</v>
      </c>
      <c r="H294" s="52">
        <f t="shared" si="64"/>
        <v>0</v>
      </c>
      <c r="I294" s="53">
        <f>I295+I296</f>
        <v>0</v>
      </c>
      <c r="J294" s="53">
        <f>J295+J296</f>
        <v>0</v>
      </c>
      <c r="K294" s="40">
        <f>K295+K296</f>
        <v>0</v>
      </c>
    </row>
    <row r="295" spans="1:11" ht="18" hidden="1" customHeight="1" x14ac:dyDescent="0.2">
      <c r="A295" s="77"/>
      <c r="B295" s="74"/>
      <c r="C295" s="21" t="s">
        <v>6</v>
      </c>
      <c r="D295" s="13">
        <f t="shared" si="63"/>
        <v>208</v>
      </c>
      <c r="E295" s="14">
        <v>208</v>
      </c>
      <c r="F295" s="15"/>
      <c r="G295" s="15"/>
      <c r="H295" s="51">
        <f t="shared" si="64"/>
        <v>0</v>
      </c>
      <c r="I295" s="49"/>
      <c r="J295" s="49"/>
      <c r="K295" s="37"/>
    </row>
    <row r="296" spans="1:11" ht="18" hidden="1" customHeight="1" x14ac:dyDescent="0.2">
      <c r="A296" s="77"/>
      <c r="B296" s="74"/>
      <c r="C296" s="21" t="s">
        <v>8</v>
      </c>
      <c r="D296" s="13">
        <f t="shared" si="63"/>
        <v>17787</v>
      </c>
      <c r="E296" s="14">
        <v>17787</v>
      </c>
      <c r="F296" s="14">
        <v>506</v>
      </c>
      <c r="G296" s="14"/>
      <c r="H296" s="51">
        <f t="shared" si="64"/>
        <v>0</v>
      </c>
      <c r="I296" s="49">
        <v>0</v>
      </c>
      <c r="J296" s="49">
        <v>0</v>
      </c>
      <c r="K296" s="37">
        <v>0</v>
      </c>
    </row>
    <row r="297" spans="1:11" ht="30.75" hidden="1" customHeight="1" x14ac:dyDescent="0.2">
      <c r="A297" s="62">
        <v>5</v>
      </c>
      <c r="B297" s="63" t="s">
        <v>31</v>
      </c>
      <c r="C297" s="21" t="s">
        <v>8</v>
      </c>
      <c r="D297" s="11">
        <f t="shared" si="63"/>
        <v>363</v>
      </c>
      <c r="E297" s="12">
        <v>363</v>
      </c>
      <c r="F297" s="15"/>
      <c r="G297" s="15"/>
      <c r="H297" s="52">
        <f t="shared" si="64"/>
        <v>0</v>
      </c>
      <c r="I297" s="53">
        <v>0</v>
      </c>
      <c r="J297" s="53">
        <v>0</v>
      </c>
      <c r="K297" s="40">
        <v>0</v>
      </c>
    </row>
    <row r="298" spans="1:11" ht="22.9" customHeight="1" x14ac:dyDescent="0.2">
      <c r="A298" s="75" t="s">
        <v>21</v>
      </c>
      <c r="B298" s="75"/>
      <c r="C298" s="76"/>
      <c r="D298" s="10">
        <f t="shared" si="63"/>
        <v>274739</v>
      </c>
      <c r="E298" s="10">
        <f>E300+E305+E306</f>
        <v>271409</v>
      </c>
      <c r="F298" s="10">
        <f>F300+F305+F306</f>
        <v>185809</v>
      </c>
      <c r="G298" s="10">
        <f>G300+G305+G306</f>
        <v>3330</v>
      </c>
      <c r="H298" s="48">
        <f t="shared" si="64"/>
        <v>333295</v>
      </c>
      <c r="I298" s="48">
        <f>I300+I305+I306</f>
        <v>326795</v>
      </c>
      <c r="J298" s="48">
        <f>J300+J305+J306</f>
        <v>292743</v>
      </c>
      <c r="K298" s="39">
        <f>K300+K305+K306</f>
        <v>6500</v>
      </c>
    </row>
    <row r="299" spans="1:11" ht="15" hidden="1" customHeight="1" x14ac:dyDescent="0.2">
      <c r="A299" s="72"/>
      <c r="B299" s="72"/>
      <c r="C299" s="73"/>
      <c r="D299" s="11"/>
      <c r="E299" s="12"/>
      <c r="F299" s="12"/>
      <c r="G299" s="12"/>
      <c r="H299" s="52"/>
      <c r="I299" s="53"/>
      <c r="J299" s="53"/>
      <c r="K299" s="40"/>
    </row>
    <row r="300" spans="1:11" ht="18" customHeight="1" x14ac:dyDescent="0.2">
      <c r="A300" s="77">
        <v>1</v>
      </c>
      <c r="B300" s="74" t="s">
        <v>82</v>
      </c>
      <c r="C300" s="21"/>
      <c r="D300" s="11">
        <f t="shared" ref="D300:D307" si="65">E300+G300</f>
        <v>273424</v>
      </c>
      <c r="E300" s="12">
        <f>E301+E302+E303+E304</f>
        <v>270094</v>
      </c>
      <c r="F300" s="12">
        <f>F301+F302+F303+F304</f>
        <v>185809</v>
      </c>
      <c r="G300" s="12">
        <f>G301+G302+G303+G304</f>
        <v>3330</v>
      </c>
      <c r="H300" s="52">
        <f t="shared" ref="H300:H307" si="66">I300+K300</f>
        <v>333145</v>
      </c>
      <c r="I300" s="53">
        <f>I301+I302+I303+I304</f>
        <v>326645</v>
      </c>
      <c r="J300" s="53">
        <f>J301+J302+J303+J304</f>
        <v>292743</v>
      </c>
      <c r="K300" s="40">
        <f>K301+K302+K303+K304</f>
        <v>6500</v>
      </c>
    </row>
    <row r="301" spans="1:11" ht="18" customHeight="1" x14ac:dyDescent="0.2">
      <c r="A301" s="77"/>
      <c r="B301" s="74"/>
      <c r="C301" s="21" t="s">
        <v>3</v>
      </c>
      <c r="D301" s="13">
        <f t="shared" si="65"/>
        <v>219563</v>
      </c>
      <c r="E301" s="14">
        <f>219279+284</f>
        <v>219563</v>
      </c>
      <c r="F301" s="14">
        <f>163557+217</f>
        <v>163774</v>
      </c>
      <c r="G301" s="14"/>
      <c r="H301" s="51">
        <f t="shared" si="66"/>
        <v>277020</v>
      </c>
      <c r="I301" s="49">
        <v>277020</v>
      </c>
      <c r="J301" s="49">
        <v>265700</v>
      </c>
      <c r="K301" s="37">
        <v>0</v>
      </c>
    </row>
    <row r="302" spans="1:11" ht="18" customHeight="1" x14ac:dyDescent="0.2">
      <c r="A302" s="77"/>
      <c r="B302" s="74"/>
      <c r="C302" s="21" t="s">
        <v>10</v>
      </c>
      <c r="D302" s="13">
        <f t="shared" si="65"/>
        <v>28861</v>
      </c>
      <c r="E302" s="14">
        <v>28861</v>
      </c>
      <c r="F302" s="14">
        <v>22035</v>
      </c>
      <c r="G302" s="14"/>
      <c r="H302" s="51">
        <f t="shared" si="66"/>
        <v>17745</v>
      </c>
      <c r="I302" s="49">
        <v>17745</v>
      </c>
      <c r="J302" s="49">
        <v>17488</v>
      </c>
      <c r="K302" s="37">
        <v>0</v>
      </c>
    </row>
    <row r="303" spans="1:11" ht="18" customHeight="1" x14ac:dyDescent="0.2">
      <c r="A303" s="77"/>
      <c r="B303" s="74"/>
      <c r="C303" s="21" t="s">
        <v>11</v>
      </c>
      <c r="D303" s="13">
        <f t="shared" si="65"/>
        <v>0</v>
      </c>
      <c r="E303" s="14"/>
      <c r="F303" s="14"/>
      <c r="G303" s="14"/>
      <c r="H303" s="51">
        <f t="shared" si="66"/>
        <v>9690</v>
      </c>
      <c r="I303" s="49">
        <v>9690</v>
      </c>
      <c r="J303" s="49">
        <v>9555</v>
      </c>
      <c r="K303" s="37">
        <v>0</v>
      </c>
    </row>
    <row r="304" spans="1:11" ht="18" customHeight="1" x14ac:dyDescent="0.2">
      <c r="A304" s="77"/>
      <c r="B304" s="74"/>
      <c r="C304" s="21" t="s">
        <v>5</v>
      </c>
      <c r="D304" s="13">
        <f t="shared" si="65"/>
        <v>25000</v>
      </c>
      <c r="E304" s="14">
        <v>21670</v>
      </c>
      <c r="F304" s="14"/>
      <c r="G304" s="14">
        <v>3330</v>
      </c>
      <c r="H304" s="51">
        <f t="shared" si="66"/>
        <v>28690</v>
      </c>
      <c r="I304" s="49">
        <f>28690-6500</f>
        <v>22190</v>
      </c>
      <c r="J304" s="49">
        <v>0</v>
      </c>
      <c r="K304" s="37">
        <v>6500</v>
      </c>
    </row>
    <row r="305" spans="1:11" ht="28.15" customHeight="1" x14ac:dyDescent="0.2">
      <c r="A305" s="62">
        <v>4</v>
      </c>
      <c r="B305" s="63" t="s">
        <v>30</v>
      </c>
      <c r="C305" s="21" t="s">
        <v>3</v>
      </c>
      <c r="D305" s="11">
        <f t="shared" si="65"/>
        <v>599</v>
      </c>
      <c r="E305" s="12">
        <v>599</v>
      </c>
      <c r="F305" s="15"/>
      <c r="G305" s="15"/>
      <c r="H305" s="52">
        <f t="shared" si="66"/>
        <v>150</v>
      </c>
      <c r="I305" s="53">
        <v>150</v>
      </c>
      <c r="J305" s="53">
        <v>0</v>
      </c>
      <c r="K305" s="40">
        <v>0</v>
      </c>
    </row>
    <row r="306" spans="1:11" ht="34.5" hidden="1" customHeight="1" x14ac:dyDescent="0.2">
      <c r="A306" s="62">
        <v>5</v>
      </c>
      <c r="B306" s="63" t="s">
        <v>31</v>
      </c>
      <c r="C306" s="21" t="s">
        <v>8</v>
      </c>
      <c r="D306" s="11">
        <f t="shared" si="65"/>
        <v>716</v>
      </c>
      <c r="E306" s="12">
        <v>716</v>
      </c>
      <c r="F306" s="15"/>
      <c r="G306" s="15"/>
      <c r="H306" s="52">
        <f t="shared" si="66"/>
        <v>0</v>
      </c>
      <c r="I306" s="53">
        <v>0</v>
      </c>
      <c r="J306" s="53">
        <v>0</v>
      </c>
      <c r="K306" s="40">
        <v>0</v>
      </c>
    </row>
    <row r="307" spans="1:11" ht="21.6" customHeight="1" x14ac:dyDescent="0.2">
      <c r="A307" s="75" t="s">
        <v>22</v>
      </c>
      <c r="B307" s="75"/>
      <c r="C307" s="76"/>
      <c r="D307" s="10">
        <f t="shared" si="65"/>
        <v>107763</v>
      </c>
      <c r="E307" s="10">
        <f>E309+E315</f>
        <v>106315</v>
      </c>
      <c r="F307" s="10">
        <f>F309+F315</f>
        <v>57646</v>
      </c>
      <c r="G307" s="10">
        <f>G309+G315</f>
        <v>1448</v>
      </c>
      <c r="H307" s="48">
        <f t="shared" si="66"/>
        <v>162257</v>
      </c>
      <c r="I307" s="48">
        <f>I309+I315</f>
        <v>161757</v>
      </c>
      <c r="J307" s="48">
        <f>J309+J315</f>
        <v>129620</v>
      </c>
      <c r="K307" s="39">
        <f>K309+K315</f>
        <v>500</v>
      </c>
    </row>
    <row r="308" spans="1:11" ht="15" hidden="1" customHeight="1" x14ac:dyDescent="0.2">
      <c r="A308" s="72"/>
      <c r="B308" s="72"/>
      <c r="C308" s="73"/>
      <c r="D308" s="11"/>
      <c r="E308" s="12"/>
      <c r="F308" s="12"/>
      <c r="G308" s="12"/>
      <c r="H308" s="52"/>
      <c r="I308" s="53"/>
      <c r="J308" s="53"/>
      <c r="K308" s="40"/>
    </row>
    <row r="309" spans="1:11" ht="18" customHeight="1" x14ac:dyDescent="0.2">
      <c r="A309" s="77">
        <v>1</v>
      </c>
      <c r="B309" s="74" t="s">
        <v>82</v>
      </c>
      <c r="C309" s="21"/>
      <c r="D309" s="11">
        <f t="shared" ref="D309:D316" si="67">E309+G309</f>
        <v>104154</v>
      </c>
      <c r="E309" s="12">
        <f>E310+E311+E314</f>
        <v>102706</v>
      </c>
      <c r="F309" s="12">
        <f>F310+F311+F314</f>
        <v>57646</v>
      </c>
      <c r="G309" s="12">
        <f>G310+G311+G314</f>
        <v>1448</v>
      </c>
      <c r="H309" s="52">
        <f t="shared" ref="H309:H316" si="68">I309+K309</f>
        <v>159757</v>
      </c>
      <c r="I309" s="53">
        <f>I310+I311+I314+I312+I313</f>
        <v>159257</v>
      </c>
      <c r="J309" s="53">
        <f t="shared" ref="J309:K309" si="69">J310+J311+J314+J312+J313</f>
        <v>129620</v>
      </c>
      <c r="K309" s="40">
        <f t="shared" si="69"/>
        <v>500</v>
      </c>
    </row>
    <row r="310" spans="1:11" ht="18" customHeight="1" x14ac:dyDescent="0.2">
      <c r="A310" s="77"/>
      <c r="B310" s="74"/>
      <c r="C310" s="21" t="s">
        <v>3</v>
      </c>
      <c r="D310" s="13">
        <f t="shared" si="67"/>
        <v>103887</v>
      </c>
      <c r="E310" s="14">
        <f>97950+4489</f>
        <v>102439</v>
      </c>
      <c r="F310" s="14">
        <f>54228+3418</f>
        <v>57646</v>
      </c>
      <c r="G310" s="14">
        <v>1448</v>
      </c>
      <c r="H310" s="51">
        <f t="shared" si="68"/>
        <v>156540</v>
      </c>
      <c r="I310" s="49">
        <v>156040</v>
      </c>
      <c r="J310" s="49">
        <v>129620</v>
      </c>
      <c r="K310" s="37">
        <v>500</v>
      </c>
    </row>
    <row r="311" spans="1:11" ht="18" hidden="1" customHeight="1" x14ac:dyDescent="0.2">
      <c r="A311" s="77"/>
      <c r="B311" s="74"/>
      <c r="C311" s="21" t="s">
        <v>10</v>
      </c>
      <c r="D311" s="13">
        <f t="shared" si="67"/>
        <v>0</v>
      </c>
      <c r="E311" s="14"/>
      <c r="F311" s="14"/>
      <c r="G311" s="14"/>
      <c r="H311" s="56">
        <f t="shared" si="68"/>
        <v>0</v>
      </c>
      <c r="I311" s="50"/>
      <c r="J311" s="50"/>
      <c r="K311" s="14">
        <v>0</v>
      </c>
    </row>
    <row r="312" spans="1:11" ht="18" customHeight="1" x14ac:dyDescent="0.2">
      <c r="A312" s="77"/>
      <c r="B312" s="74"/>
      <c r="C312" s="21" t="s">
        <v>81</v>
      </c>
      <c r="D312" s="13"/>
      <c r="E312" s="14"/>
      <c r="F312" s="14"/>
      <c r="G312" s="14"/>
      <c r="H312" s="56">
        <f t="shared" si="68"/>
        <v>917</v>
      </c>
      <c r="I312" s="50">
        <v>917</v>
      </c>
      <c r="J312" s="50">
        <v>0</v>
      </c>
      <c r="K312" s="14">
        <v>0</v>
      </c>
    </row>
    <row r="313" spans="1:11" ht="18" hidden="1" customHeight="1" x14ac:dyDescent="0.2">
      <c r="A313" s="77"/>
      <c r="B313" s="74"/>
      <c r="C313" s="21" t="s">
        <v>11</v>
      </c>
      <c r="D313" s="13"/>
      <c r="E313" s="14"/>
      <c r="F313" s="14"/>
      <c r="G313" s="14"/>
      <c r="H313" s="56">
        <f t="shared" ref="H313" si="70">I313+K313</f>
        <v>0</v>
      </c>
      <c r="I313" s="50"/>
      <c r="J313" s="50">
        <v>0</v>
      </c>
      <c r="K313" s="14">
        <v>0</v>
      </c>
    </row>
    <row r="314" spans="1:11" ht="18" customHeight="1" x14ac:dyDescent="0.2">
      <c r="A314" s="77"/>
      <c r="B314" s="74"/>
      <c r="C314" s="21" t="s">
        <v>5</v>
      </c>
      <c r="D314" s="13">
        <f t="shared" si="67"/>
        <v>267</v>
      </c>
      <c r="E314" s="14">
        <v>267</v>
      </c>
      <c r="F314" s="14"/>
      <c r="G314" s="14"/>
      <c r="H314" s="51">
        <f t="shared" si="68"/>
        <v>2300</v>
      </c>
      <c r="I314" s="49">
        <v>2300</v>
      </c>
      <c r="J314" s="50">
        <v>0</v>
      </c>
      <c r="K314" s="14">
        <v>0</v>
      </c>
    </row>
    <row r="315" spans="1:11" ht="28.5" customHeight="1" x14ac:dyDescent="0.2">
      <c r="A315" s="62">
        <v>5</v>
      </c>
      <c r="B315" s="63" t="s">
        <v>31</v>
      </c>
      <c r="C315" s="21" t="s">
        <v>8</v>
      </c>
      <c r="D315" s="11">
        <f t="shared" si="67"/>
        <v>3609</v>
      </c>
      <c r="E315" s="12">
        <v>3609</v>
      </c>
      <c r="F315" s="15"/>
      <c r="G315" s="15"/>
      <c r="H315" s="52">
        <f t="shared" si="68"/>
        <v>2500</v>
      </c>
      <c r="I315" s="53">
        <v>2500</v>
      </c>
      <c r="J315" s="53">
        <v>0</v>
      </c>
      <c r="K315" s="40">
        <v>0</v>
      </c>
    </row>
    <row r="316" spans="1:11" ht="26.45" customHeight="1" x14ac:dyDescent="0.2">
      <c r="A316" s="75" t="s">
        <v>54</v>
      </c>
      <c r="B316" s="75"/>
      <c r="C316" s="76"/>
      <c r="D316" s="10">
        <f t="shared" si="67"/>
        <v>147109</v>
      </c>
      <c r="E316" s="10">
        <f>E318+E319+E320+E321+E323+E322</f>
        <v>143609</v>
      </c>
      <c r="F316" s="10">
        <f>F318+F319+F320+F321</f>
        <v>79293</v>
      </c>
      <c r="G316" s="10">
        <f>G318+G319+G320+G321</f>
        <v>3500</v>
      </c>
      <c r="H316" s="48">
        <f t="shared" si="68"/>
        <v>204905</v>
      </c>
      <c r="I316" s="48">
        <f>I318+I319+I320+I321+I323+I322</f>
        <v>201905</v>
      </c>
      <c r="J316" s="48">
        <f>J318+J319+J320+J321</f>
        <v>147340</v>
      </c>
      <c r="K316" s="39">
        <f>K318+K319+K320+K321</f>
        <v>3000</v>
      </c>
    </row>
    <row r="317" spans="1:11" ht="15" customHeight="1" x14ac:dyDescent="0.2">
      <c r="A317" s="78">
        <v>1</v>
      </c>
      <c r="B317" s="81" t="s">
        <v>82</v>
      </c>
      <c r="C317" s="61"/>
      <c r="D317" s="11">
        <f t="shared" ref="D317:G317" si="71">+D318+D319+D321</f>
        <v>147109</v>
      </c>
      <c r="E317" s="12">
        <f t="shared" si="71"/>
        <v>143609</v>
      </c>
      <c r="F317" s="12">
        <f t="shared" si="71"/>
        <v>79293</v>
      </c>
      <c r="G317" s="12">
        <f t="shared" si="71"/>
        <v>3500</v>
      </c>
      <c r="H317" s="52">
        <f>+I317+K317</f>
        <v>204705</v>
      </c>
      <c r="I317" s="53">
        <f>+I318+I319+I321+I320</f>
        <v>201705</v>
      </c>
      <c r="J317" s="53">
        <f t="shared" ref="J317:K317" si="72">+J318+J319+J321+J320</f>
        <v>147340</v>
      </c>
      <c r="K317" s="53">
        <f t="shared" si="72"/>
        <v>3000</v>
      </c>
    </row>
    <row r="318" spans="1:11" ht="18" customHeight="1" x14ac:dyDescent="0.2">
      <c r="A318" s="95"/>
      <c r="B318" s="97"/>
      <c r="C318" s="21" t="s">
        <v>3</v>
      </c>
      <c r="D318" s="13">
        <f t="shared" ref="D318:D324" si="73">E318+G318</f>
        <v>123676</v>
      </c>
      <c r="E318" s="14">
        <v>121504</v>
      </c>
      <c r="F318" s="14">
        <v>66715</v>
      </c>
      <c r="G318" s="14">
        <v>2172</v>
      </c>
      <c r="H318" s="51">
        <f t="shared" ref="H318:H324" si="74">I318+K318</f>
        <v>171180</v>
      </c>
      <c r="I318" s="49">
        <f>79980+88200</f>
        <v>168180</v>
      </c>
      <c r="J318" s="49">
        <f>47150+79400</f>
        <v>126550</v>
      </c>
      <c r="K318" s="37">
        <v>3000</v>
      </c>
    </row>
    <row r="319" spans="1:11" ht="18" customHeight="1" x14ac:dyDescent="0.2">
      <c r="A319" s="95"/>
      <c r="B319" s="97"/>
      <c r="C319" s="21" t="s">
        <v>10</v>
      </c>
      <c r="D319" s="13">
        <f t="shared" si="73"/>
        <v>16475</v>
      </c>
      <c r="E319" s="14">
        <v>16475</v>
      </c>
      <c r="F319" s="14">
        <v>12578</v>
      </c>
      <c r="G319" s="14"/>
      <c r="H319" s="51">
        <f t="shared" si="74"/>
        <v>13265</v>
      </c>
      <c r="I319" s="49">
        <v>13265</v>
      </c>
      <c r="J319" s="49">
        <v>13075</v>
      </c>
      <c r="K319" s="37">
        <v>0</v>
      </c>
    </row>
    <row r="320" spans="1:11" ht="18" customHeight="1" x14ac:dyDescent="0.2">
      <c r="A320" s="95"/>
      <c r="B320" s="97"/>
      <c r="C320" s="21" t="s">
        <v>11</v>
      </c>
      <c r="D320" s="13">
        <f t="shared" si="73"/>
        <v>0</v>
      </c>
      <c r="E320" s="14"/>
      <c r="F320" s="14"/>
      <c r="G320" s="14"/>
      <c r="H320" s="51">
        <f t="shared" si="74"/>
        <v>7310</v>
      </c>
      <c r="I320" s="49">
        <v>7310</v>
      </c>
      <c r="J320" s="49">
        <v>7205</v>
      </c>
      <c r="K320" s="37">
        <v>0</v>
      </c>
    </row>
    <row r="321" spans="1:11" ht="18" customHeight="1" x14ac:dyDescent="0.2">
      <c r="A321" s="96"/>
      <c r="B321" s="98"/>
      <c r="C321" s="21" t="s">
        <v>5</v>
      </c>
      <c r="D321" s="13">
        <f t="shared" si="73"/>
        <v>6958</v>
      </c>
      <c r="E321" s="14">
        <v>5630</v>
      </c>
      <c r="F321" s="14"/>
      <c r="G321" s="14">
        <v>1328</v>
      </c>
      <c r="H321" s="51">
        <f t="shared" si="74"/>
        <v>12950</v>
      </c>
      <c r="I321" s="49">
        <f>4000+8950</f>
        <v>12950</v>
      </c>
      <c r="J321" s="49">
        <v>510</v>
      </c>
      <c r="K321" s="37">
        <v>0</v>
      </c>
    </row>
    <row r="322" spans="1:11" ht="28.15" customHeight="1" x14ac:dyDescent="0.2">
      <c r="A322" s="62">
        <v>4</v>
      </c>
      <c r="B322" s="63" t="s">
        <v>30</v>
      </c>
      <c r="C322" s="21" t="s">
        <v>3</v>
      </c>
      <c r="D322" s="11">
        <f t="shared" si="73"/>
        <v>0</v>
      </c>
      <c r="E322" s="12">
        <v>0</v>
      </c>
      <c r="F322" s="15"/>
      <c r="G322" s="15"/>
      <c r="H322" s="52">
        <f t="shared" si="74"/>
        <v>200</v>
      </c>
      <c r="I322" s="53">
        <v>200</v>
      </c>
      <c r="J322" s="53">
        <v>0</v>
      </c>
      <c r="K322" s="40">
        <v>0</v>
      </c>
    </row>
    <row r="323" spans="1:11" ht="28.5" hidden="1" customHeight="1" x14ac:dyDescent="0.2">
      <c r="A323" s="62">
        <v>5</v>
      </c>
      <c r="B323" s="63" t="s">
        <v>31</v>
      </c>
      <c r="C323" s="21" t="s">
        <v>8</v>
      </c>
      <c r="D323" s="26">
        <f t="shared" si="73"/>
        <v>0</v>
      </c>
      <c r="E323" s="12">
        <v>0</v>
      </c>
      <c r="F323" s="14"/>
      <c r="G323" s="14"/>
      <c r="H323" s="52">
        <f t="shared" si="74"/>
        <v>0</v>
      </c>
      <c r="I323" s="53">
        <v>0</v>
      </c>
      <c r="J323" s="53">
        <v>0</v>
      </c>
      <c r="K323" s="40">
        <v>0</v>
      </c>
    </row>
    <row r="324" spans="1:11" ht="25.15" customHeight="1" x14ac:dyDescent="0.2">
      <c r="A324" s="75" t="s">
        <v>23</v>
      </c>
      <c r="B324" s="75"/>
      <c r="C324" s="76"/>
      <c r="D324" s="10">
        <f t="shared" si="73"/>
        <v>113867</v>
      </c>
      <c r="E324" s="10">
        <f>E326+E332</f>
        <v>112911</v>
      </c>
      <c r="F324" s="10">
        <f>F326+F332</f>
        <v>61549</v>
      </c>
      <c r="G324" s="10">
        <f>G326+G332</f>
        <v>956</v>
      </c>
      <c r="H324" s="48">
        <f t="shared" si="74"/>
        <v>139515</v>
      </c>
      <c r="I324" s="48">
        <f>I326+I332</f>
        <v>139515</v>
      </c>
      <c r="J324" s="48">
        <f>J326+J332</f>
        <v>109880</v>
      </c>
      <c r="K324" s="39">
        <f>K326+K332</f>
        <v>0</v>
      </c>
    </row>
    <row r="325" spans="1:11" ht="15" hidden="1" customHeight="1" x14ac:dyDescent="0.2">
      <c r="A325" s="72"/>
      <c r="B325" s="72"/>
      <c r="C325" s="73"/>
      <c r="D325" s="11"/>
      <c r="E325" s="12"/>
      <c r="F325" s="12"/>
      <c r="G325" s="12"/>
      <c r="H325" s="52"/>
      <c r="I325" s="53"/>
      <c r="J325" s="53"/>
      <c r="K325" s="40"/>
    </row>
    <row r="326" spans="1:11" ht="18" customHeight="1" x14ac:dyDescent="0.2">
      <c r="A326" s="77">
        <v>1</v>
      </c>
      <c r="B326" s="74" t="s">
        <v>82</v>
      </c>
      <c r="C326" s="21"/>
      <c r="D326" s="11">
        <f t="shared" ref="D326:D333" si="75">E326+G326</f>
        <v>113501</v>
      </c>
      <c r="E326" s="12">
        <f>E327+E328+E329+E331</f>
        <v>112545</v>
      </c>
      <c r="F326" s="12">
        <f>F327+F328+F329+F331</f>
        <v>61549</v>
      </c>
      <c r="G326" s="12">
        <f>G327+G328+G329+G331</f>
        <v>956</v>
      </c>
      <c r="H326" s="52">
        <f t="shared" ref="H326:H333" si="76">I326+K326</f>
        <v>139515</v>
      </c>
      <c r="I326" s="53">
        <f>I327+I328+I329+I331+I330</f>
        <v>139515</v>
      </c>
      <c r="J326" s="53">
        <f t="shared" ref="J326:K326" si="77">J327+J328+J329+J331+J330</f>
        <v>109880</v>
      </c>
      <c r="K326" s="53">
        <f t="shared" si="77"/>
        <v>0</v>
      </c>
    </row>
    <row r="327" spans="1:11" ht="18" customHeight="1" x14ac:dyDescent="0.2">
      <c r="A327" s="77"/>
      <c r="B327" s="74"/>
      <c r="C327" s="21" t="s">
        <v>3</v>
      </c>
      <c r="D327" s="13">
        <f t="shared" si="75"/>
        <v>57416</v>
      </c>
      <c r="E327" s="14">
        <v>57416</v>
      </c>
      <c r="F327" s="14">
        <v>40531</v>
      </c>
      <c r="G327" s="14"/>
      <c r="H327" s="51">
        <f t="shared" si="76"/>
        <v>85730</v>
      </c>
      <c r="I327" s="49">
        <v>85730</v>
      </c>
      <c r="J327" s="49">
        <v>80720</v>
      </c>
      <c r="K327" s="14">
        <v>0</v>
      </c>
    </row>
    <row r="328" spans="1:11" ht="18" customHeight="1" x14ac:dyDescent="0.2">
      <c r="A328" s="77"/>
      <c r="B328" s="74"/>
      <c r="C328" s="21" t="s">
        <v>10</v>
      </c>
      <c r="D328" s="13">
        <f t="shared" si="75"/>
        <v>27528</v>
      </c>
      <c r="E328" s="14">
        <v>27528</v>
      </c>
      <c r="F328" s="14">
        <v>21018</v>
      </c>
      <c r="G328" s="14"/>
      <c r="H328" s="51">
        <f t="shared" si="76"/>
        <v>29585</v>
      </c>
      <c r="I328" s="49">
        <v>29585</v>
      </c>
      <c r="J328" s="49">
        <v>29160</v>
      </c>
      <c r="K328" s="37">
        <v>0</v>
      </c>
    </row>
    <row r="329" spans="1:11" ht="18" hidden="1" customHeight="1" x14ac:dyDescent="0.2">
      <c r="A329" s="77"/>
      <c r="B329" s="74"/>
      <c r="C329" s="21" t="s">
        <v>81</v>
      </c>
      <c r="D329" s="13">
        <f t="shared" si="75"/>
        <v>0</v>
      </c>
      <c r="E329" s="14"/>
      <c r="F329" s="14"/>
      <c r="G329" s="14"/>
      <c r="H329" s="51">
        <f t="shared" si="76"/>
        <v>0</v>
      </c>
      <c r="I329" s="49"/>
      <c r="J329" s="49">
        <v>0</v>
      </c>
      <c r="K329" s="37">
        <v>0</v>
      </c>
    </row>
    <row r="330" spans="1:11" ht="18" hidden="1" customHeight="1" x14ac:dyDescent="0.2">
      <c r="A330" s="77"/>
      <c r="B330" s="74"/>
      <c r="C330" s="21" t="s">
        <v>11</v>
      </c>
      <c r="D330" s="13"/>
      <c r="E330" s="14"/>
      <c r="F330" s="14"/>
      <c r="G330" s="14"/>
      <c r="H330" s="51">
        <f t="shared" ref="H330" si="78">I330+K330</f>
        <v>0</v>
      </c>
      <c r="I330" s="49"/>
      <c r="J330" s="49">
        <v>0</v>
      </c>
      <c r="K330" s="37">
        <v>0</v>
      </c>
    </row>
    <row r="331" spans="1:11" ht="18" customHeight="1" x14ac:dyDescent="0.2">
      <c r="A331" s="77"/>
      <c r="B331" s="74"/>
      <c r="C331" s="21" t="s">
        <v>5</v>
      </c>
      <c r="D331" s="13">
        <f t="shared" si="75"/>
        <v>28557</v>
      </c>
      <c r="E331" s="14">
        <v>27601</v>
      </c>
      <c r="F331" s="14"/>
      <c r="G331" s="14">
        <v>956</v>
      </c>
      <c r="H331" s="51">
        <f t="shared" si="76"/>
        <v>24200</v>
      </c>
      <c r="I331" s="49">
        <v>24200</v>
      </c>
      <c r="J331" s="49">
        <v>0</v>
      </c>
      <c r="K331" s="37">
        <v>0</v>
      </c>
    </row>
    <row r="332" spans="1:11" ht="28.15" hidden="1" customHeight="1" x14ac:dyDescent="0.2">
      <c r="A332" s="62">
        <v>5</v>
      </c>
      <c r="B332" s="63" t="s">
        <v>31</v>
      </c>
      <c r="C332" s="21" t="s">
        <v>8</v>
      </c>
      <c r="D332" s="11">
        <f t="shared" si="75"/>
        <v>366</v>
      </c>
      <c r="E332" s="12">
        <v>366</v>
      </c>
      <c r="F332" s="15"/>
      <c r="G332" s="15"/>
      <c r="H332" s="52">
        <f t="shared" si="76"/>
        <v>0</v>
      </c>
      <c r="I332" s="53">
        <v>0</v>
      </c>
      <c r="J332" s="53">
        <v>0</v>
      </c>
      <c r="K332" s="40">
        <v>0</v>
      </c>
    </row>
    <row r="333" spans="1:11" ht="30" hidden="1" customHeight="1" x14ac:dyDescent="0.2">
      <c r="A333" s="75" t="s">
        <v>26</v>
      </c>
      <c r="B333" s="75"/>
      <c r="C333" s="76"/>
      <c r="D333" s="10">
        <f t="shared" si="75"/>
        <v>0</v>
      </c>
      <c r="E333" s="10">
        <f>E335</f>
        <v>0</v>
      </c>
      <c r="F333" s="10">
        <f>F334</f>
        <v>0</v>
      </c>
      <c r="G333" s="10">
        <f>G334</f>
        <v>0</v>
      </c>
      <c r="H333" s="48">
        <f t="shared" si="76"/>
        <v>0</v>
      </c>
      <c r="I333" s="48">
        <f>I335</f>
        <v>0</v>
      </c>
      <c r="J333" s="48">
        <f>J334</f>
        <v>0</v>
      </c>
      <c r="K333" s="39">
        <f>K334</f>
        <v>0</v>
      </c>
    </row>
    <row r="334" spans="1:11" ht="15" hidden="1" customHeight="1" x14ac:dyDescent="0.2">
      <c r="A334" s="72"/>
      <c r="B334" s="72"/>
      <c r="C334" s="73"/>
      <c r="D334" s="11"/>
      <c r="E334" s="12"/>
      <c r="F334" s="12"/>
      <c r="G334" s="12"/>
      <c r="H334" s="52"/>
      <c r="I334" s="53"/>
      <c r="J334" s="53"/>
      <c r="K334" s="40"/>
    </row>
    <row r="335" spans="1:11" ht="30" hidden="1" customHeight="1" x14ac:dyDescent="0.2">
      <c r="A335" s="62">
        <v>5</v>
      </c>
      <c r="B335" s="63" t="s">
        <v>31</v>
      </c>
      <c r="C335" s="21" t="s">
        <v>3</v>
      </c>
      <c r="D335" s="11">
        <f>E335+G335</f>
        <v>0</v>
      </c>
      <c r="E335" s="15">
        <v>0</v>
      </c>
      <c r="F335" s="15"/>
      <c r="G335" s="15"/>
      <c r="H335" s="51">
        <f>I335+K335</f>
        <v>0</v>
      </c>
      <c r="I335" s="49">
        <v>0</v>
      </c>
      <c r="J335" s="49">
        <v>0</v>
      </c>
      <c r="K335" s="37">
        <v>0</v>
      </c>
    </row>
    <row r="336" spans="1:11" ht="27" customHeight="1" x14ac:dyDescent="0.2">
      <c r="A336" s="75" t="s">
        <v>24</v>
      </c>
      <c r="B336" s="75"/>
      <c r="C336" s="76"/>
      <c r="D336" s="10">
        <f>E336+G336</f>
        <v>18527</v>
      </c>
      <c r="E336" s="10">
        <f>E338</f>
        <v>18527</v>
      </c>
      <c r="F336" s="10">
        <f>F338</f>
        <v>12788</v>
      </c>
      <c r="G336" s="10">
        <f>G337</f>
        <v>0</v>
      </c>
      <c r="H336" s="48">
        <f>I336+K336</f>
        <v>55220</v>
      </c>
      <c r="I336" s="48">
        <f>I338</f>
        <v>55220</v>
      </c>
      <c r="J336" s="48">
        <f>J338</f>
        <v>48335</v>
      </c>
      <c r="K336" s="39">
        <f>K337</f>
        <v>0</v>
      </c>
    </row>
    <row r="337" spans="1:12" ht="15" hidden="1" customHeight="1" x14ac:dyDescent="0.2">
      <c r="A337" s="72"/>
      <c r="B337" s="72"/>
      <c r="C337" s="73"/>
      <c r="D337" s="11"/>
      <c r="E337" s="12"/>
      <c r="F337" s="12"/>
      <c r="G337" s="12"/>
      <c r="H337" s="52"/>
      <c r="I337" s="53"/>
      <c r="J337" s="53"/>
      <c r="K337" s="40"/>
    </row>
    <row r="338" spans="1:12" ht="28.15" customHeight="1" x14ac:dyDescent="0.2">
      <c r="A338" s="62">
        <v>5</v>
      </c>
      <c r="B338" s="63" t="s">
        <v>31</v>
      </c>
      <c r="C338" s="21" t="s">
        <v>3</v>
      </c>
      <c r="D338" s="11">
        <f>E338+G338</f>
        <v>18527</v>
      </c>
      <c r="E338" s="15">
        <v>18527</v>
      </c>
      <c r="F338" s="15">
        <v>12788</v>
      </c>
      <c r="G338" s="15"/>
      <c r="H338" s="51">
        <f>I338+K338</f>
        <v>55220</v>
      </c>
      <c r="I338" s="49">
        <v>55220</v>
      </c>
      <c r="J338" s="49">
        <v>48335</v>
      </c>
      <c r="K338" s="37">
        <v>0</v>
      </c>
    </row>
    <row r="339" spans="1:12" ht="25.9" customHeight="1" x14ac:dyDescent="0.2">
      <c r="A339" s="75" t="s">
        <v>25</v>
      </c>
      <c r="B339" s="75"/>
      <c r="C339" s="76"/>
      <c r="D339" s="10">
        <f>E339+G339</f>
        <v>188014</v>
      </c>
      <c r="E339" s="10">
        <f>E341+E345</f>
        <v>188014</v>
      </c>
      <c r="F339" s="10">
        <f>F341</f>
        <v>103250</v>
      </c>
      <c r="G339" s="10">
        <f>G340</f>
        <v>0</v>
      </c>
      <c r="H339" s="48">
        <f>I339+K339</f>
        <v>326650</v>
      </c>
      <c r="I339" s="48">
        <f>I341+I345</f>
        <v>326650</v>
      </c>
      <c r="J339" s="48">
        <f>J341</f>
        <v>281200</v>
      </c>
      <c r="K339" s="39">
        <f>+K341</f>
        <v>0</v>
      </c>
    </row>
    <row r="340" spans="1:12" ht="15" hidden="1" customHeight="1" x14ac:dyDescent="0.2">
      <c r="A340" s="72"/>
      <c r="B340" s="72"/>
      <c r="C340" s="73"/>
      <c r="D340" s="11"/>
      <c r="E340" s="12"/>
      <c r="F340" s="12"/>
      <c r="G340" s="12"/>
      <c r="H340" s="52"/>
      <c r="I340" s="53"/>
      <c r="J340" s="53"/>
      <c r="K340" s="40"/>
    </row>
    <row r="341" spans="1:12" ht="18" customHeight="1" x14ac:dyDescent="0.2">
      <c r="A341" s="77">
        <v>4</v>
      </c>
      <c r="B341" s="74" t="s">
        <v>30</v>
      </c>
      <c r="C341" s="61"/>
      <c r="D341" s="11">
        <f t="shared" ref="D341:D361" si="79">E341+G341</f>
        <v>184406</v>
      </c>
      <c r="E341" s="11">
        <f>E342+E344+E343</f>
        <v>184406</v>
      </c>
      <c r="F341" s="11">
        <f>F342+F344</f>
        <v>103250</v>
      </c>
      <c r="G341" s="11">
        <f>G342+G344</f>
        <v>0</v>
      </c>
      <c r="H341" s="52">
        <f t="shared" ref="H341:H361" si="80">I341+K341</f>
        <v>322900</v>
      </c>
      <c r="I341" s="52">
        <f>+I342</f>
        <v>322900</v>
      </c>
      <c r="J341" s="52">
        <f>+J342</f>
        <v>281200</v>
      </c>
      <c r="K341" s="38">
        <f>K342+K344</f>
        <v>0</v>
      </c>
    </row>
    <row r="342" spans="1:12" ht="18" customHeight="1" x14ac:dyDescent="0.2">
      <c r="A342" s="77"/>
      <c r="B342" s="74"/>
      <c r="C342" s="21" t="s">
        <v>3</v>
      </c>
      <c r="D342" s="13">
        <f t="shared" si="79"/>
        <v>145460</v>
      </c>
      <c r="E342" s="14">
        <v>145460</v>
      </c>
      <c r="F342" s="14">
        <v>103250</v>
      </c>
      <c r="G342" s="14"/>
      <c r="H342" s="51">
        <f t="shared" si="80"/>
        <v>322900</v>
      </c>
      <c r="I342" s="49">
        <v>322900</v>
      </c>
      <c r="J342" s="49">
        <v>281200</v>
      </c>
      <c r="K342" s="37">
        <v>0</v>
      </c>
    </row>
    <row r="343" spans="1:12" ht="18" hidden="1" customHeight="1" x14ac:dyDescent="0.2">
      <c r="A343" s="77"/>
      <c r="B343" s="74"/>
      <c r="C343" s="21" t="s">
        <v>4</v>
      </c>
      <c r="D343" s="13">
        <f t="shared" si="79"/>
        <v>0</v>
      </c>
      <c r="E343" s="14"/>
      <c r="F343" s="14"/>
      <c r="G343" s="14"/>
      <c r="H343" s="36">
        <f t="shared" si="80"/>
        <v>0</v>
      </c>
      <c r="I343" s="37"/>
      <c r="J343" s="37"/>
      <c r="K343" s="37"/>
    </row>
    <row r="344" spans="1:12" ht="18" hidden="1" customHeight="1" x14ac:dyDescent="0.2">
      <c r="A344" s="77"/>
      <c r="B344" s="74"/>
      <c r="C344" s="21" t="s">
        <v>11</v>
      </c>
      <c r="D344" s="13">
        <f t="shared" si="79"/>
        <v>38946</v>
      </c>
      <c r="E344" s="14">
        <v>38946</v>
      </c>
      <c r="F344" s="14">
        <v>0</v>
      </c>
      <c r="G344" s="14"/>
      <c r="H344" s="36">
        <f t="shared" si="80"/>
        <v>0</v>
      </c>
      <c r="I344" s="37"/>
      <c r="J344" s="37"/>
      <c r="K344" s="37">
        <v>0</v>
      </c>
    </row>
    <row r="345" spans="1:12" ht="28.15" customHeight="1" x14ac:dyDescent="0.2">
      <c r="A345" s="62">
        <v>5</v>
      </c>
      <c r="B345" s="63" t="s">
        <v>31</v>
      </c>
      <c r="C345" s="62" t="s">
        <v>8</v>
      </c>
      <c r="D345" s="11">
        <f t="shared" si="79"/>
        <v>3608</v>
      </c>
      <c r="E345" s="15">
        <v>3608</v>
      </c>
      <c r="F345" s="15"/>
      <c r="G345" s="15"/>
      <c r="H345" s="38">
        <f t="shared" si="80"/>
        <v>3750</v>
      </c>
      <c r="I345" s="40">
        <v>3750</v>
      </c>
      <c r="J345" s="37">
        <v>0</v>
      </c>
      <c r="K345" s="37">
        <v>0</v>
      </c>
    </row>
    <row r="346" spans="1:12" ht="22.9" customHeight="1" x14ac:dyDescent="0.2">
      <c r="A346" s="64"/>
      <c r="B346" s="93" t="s">
        <v>97</v>
      </c>
      <c r="C346" s="94"/>
      <c r="D346" s="29">
        <f t="shared" si="79"/>
        <v>16088007</v>
      </c>
      <c r="E346" s="29">
        <f>E339+E336+E333+E324+E316+E307+E298+E286+E274+E262+E250+E238+E226+E217+E205+E193+E180+E167+E155+E142+E130+E119+E108+E97+E85+E80+E72+E64+E55+E48+E43+E11</f>
        <v>14369724</v>
      </c>
      <c r="F346" s="29">
        <f>F339+F336+F333+F324+F316+F307+F298+F286+F274+F262+F250+F238+F226+F217+F205+F193+F180+F167+F155+F142+F130+F119+F108+F97+F85+F80+F72+F64+F55+F48+F43+F11</f>
        <v>6679623</v>
      </c>
      <c r="G346" s="29">
        <f>G339+G336+G333+G324+G316+G307+G298+G286+G274+G262+G250+G238+G226+G217+G205+G193+G180+G167+G155+G142+G130+G119+G108+G97+G85+G80+G72+G64+G55+G48+G43+G42+G11</f>
        <v>1718283</v>
      </c>
      <c r="H346" s="44">
        <f t="shared" si="80"/>
        <v>21858366</v>
      </c>
      <c r="I346" s="44">
        <f>I339+I336+I333+I324+I316+I307+I298+I286+I274+I262+I250+I238+I226+I217+I205+I193+I180+I167+I155+I142+I130+I119+I108+I97+I85+I80+I72+I64+I55+I48+I43+I11</f>
        <v>17804802</v>
      </c>
      <c r="J346" s="44">
        <f>J339+J336+J333+J324+J316+J307+J298+J286+J274+J262+J250+J238+J226+J217+J205+J193+J180+J167+J155+J142+J130+J119+J108+J97+J85+J80+J72+J64+J55+J48+J43+J11</f>
        <v>10613168</v>
      </c>
      <c r="K346" s="44">
        <f>K339+K336+K333+K324+K316+K307+K298+K286+K274+K262+K250+K238+K226+K217+K205+K193+K180+K167+K155+K142+K130+K119+K108+K97+K85+K80+K72+K64+K55+K48+K43+K11</f>
        <v>4053564</v>
      </c>
    </row>
    <row r="347" spans="1:12" ht="31.5" customHeight="1" x14ac:dyDescent="0.2">
      <c r="A347" s="64"/>
      <c r="B347" s="76" t="s">
        <v>76</v>
      </c>
      <c r="C347" s="107"/>
      <c r="D347" s="29"/>
      <c r="E347" s="29"/>
      <c r="F347" s="29"/>
      <c r="G347" s="29"/>
      <c r="H347" s="44">
        <f>+I347+K347</f>
        <v>66640</v>
      </c>
      <c r="I347" s="44">
        <v>0</v>
      </c>
      <c r="J347" s="44">
        <v>0</v>
      </c>
      <c r="K347" s="44">
        <v>66640</v>
      </c>
    </row>
    <row r="348" spans="1:12" ht="48.75" hidden="1" customHeight="1" x14ac:dyDescent="0.2">
      <c r="A348" s="64"/>
      <c r="B348" s="108" t="s">
        <v>88</v>
      </c>
      <c r="C348" s="109"/>
      <c r="D348" s="29"/>
      <c r="E348" s="29"/>
      <c r="F348" s="29"/>
      <c r="G348" s="29"/>
      <c r="H348" s="44">
        <f>+I348+K348</f>
        <v>0</v>
      </c>
      <c r="I348" s="44"/>
      <c r="J348" s="44">
        <v>0</v>
      </c>
      <c r="K348" s="44">
        <v>0</v>
      </c>
    </row>
    <row r="349" spans="1:12" ht="30" customHeight="1" x14ac:dyDescent="0.2">
      <c r="A349" s="62"/>
      <c r="B349" s="93" t="s">
        <v>77</v>
      </c>
      <c r="C349" s="94"/>
      <c r="D349" s="29"/>
      <c r="E349" s="29"/>
      <c r="F349" s="29"/>
      <c r="G349" s="29"/>
      <c r="H349" s="44">
        <f>+I349+K349</f>
        <v>21791726</v>
      </c>
      <c r="I349" s="44">
        <f>+I346-I347</f>
        <v>17804802</v>
      </c>
      <c r="J349" s="44">
        <f t="shared" ref="J349:L349" si="81">+J346-J347</f>
        <v>10613168</v>
      </c>
      <c r="K349" s="44">
        <f t="shared" si="81"/>
        <v>3986924</v>
      </c>
      <c r="L349" s="44">
        <f t="shared" si="81"/>
        <v>0</v>
      </c>
    </row>
    <row r="350" spans="1:12" ht="18" customHeight="1" x14ac:dyDescent="0.2">
      <c r="A350" s="104" t="s">
        <v>51</v>
      </c>
      <c r="B350" s="105"/>
      <c r="C350" s="21" t="s">
        <v>3</v>
      </c>
      <c r="D350" s="26">
        <f t="shared" si="79"/>
        <v>7550041</v>
      </c>
      <c r="E350" s="13">
        <f>E342+E338+E335+E318+E327+E310+E305+E301+E289+E277+E265+E253+E241+E229+E219+E208+E196+E183+E178+E170+E158+E153+E145+E140+E133+E122+E111+E100+E88+E82+E75+E66+E58+E50+E45+E36+E31+E26+E18+E13+E322</f>
        <v>7471725</v>
      </c>
      <c r="F350" s="13">
        <f>F342+F338+F335+F318+F327+F310+F305+F305+F301+F289+F277+F265+F253+F241+F229+F219+F208+F196+F183+F178+F170+F158+F153+F145+F140+F133+F122+F111+F100+F88+F82+F75+F66+F58+F50+F45+F36+F31+F26+F18+F13</f>
        <v>3054712</v>
      </c>
      <c r="G350" s="13">
        <f>G342+G338+G335+G327+G310+G305+G301+G289+G277+G265+G253+G241+G229+G219+G208+G196+G183+G170+G158+G153+G145+G140+G133+G122+G111+G100+G88+G82+G75+G66+G58+G50+G45+G36+G31+G26+G18+G13</f>
        <v>78316</v>
      </c>
      <c r="H350" s="45">
        <f t="shared" si="80"/>
        <v>10921819</v>
      </c>
      <c r="I350" s="46">
        <f>I342+I338+I335+I318+I327+I310+I305+I301+I289+I277+I265+I253+I241+I229+I219+I208+I196+I183+I178+I170+I158+I153+I145+I140+I133+I122+I111+I100+I88+I82+I75+I66+I58+I50+I45+I36+I31+I26+I18+I13+I322+I272+I235+I164+I203+I259+I283</f>
        <v>10028562</v>
      </c>
      <c r="J350" s="46">
        <f>J342+J338+J335+J318+J327+J310+J305+J301+J289+J277+J265+J253+J241+J229+J219+J208+J196+J183+J178+J170+J158+J153+J145+J140+J133+J122+J111+J100+J88+J82+J75+J66+J58+J50+J45+J36+J31+J26+J18+J13+J322+J272+J235+J164+J203+J259+J283</f>
        <v>5740860</v>
      </c>
      <c r="K350" s="46">
        <f>K342+K338+K335+K318+K327+K310+K305+K301+K289+K277+K265+K253+K241+K229+K219+K208+K196+K183+K178+K170+K158+K153+K145+K140+K133+K122+K111+K100+K88+K82+K75+K66+K58+K50+K45+K36+K31+K26+K18+K13+K322+K272+K235+K164+K203+K259+K283</f>
        <v>893257</v>
      </c>
    </row>
    <row r="351" spans="1:12" ht="17.45" hidden="1" customHeight="1" x14ac:dyDescent="0.2">
      <c r="A351" s="102" t="s">
        <v>52</v>
      </c>
      <c r="B351" s="106"/>
      <c r="C351" s="21" t="s">
        <v>4</v>
      </c>
      <c r="D351" s="26" t="e">
        <f t="shared" si="79"/>
        <v>#REF!</v>
      </c>
      <c r="E351" s="13" t="e">
        <f>E343+E311+E290+E266+E254+E230+E209+E197+E184+E171+E159+E146+E134+E123+E112+E101+E89+E67+E59+#REF!+#REF!+#REF!+E242</f>
        <v>#REF!</v>
      </c>
      <c r="F351" s="13" t="e">
        <f>F343+F311+F290+F266+F254+F230+F209+F197+F184+F171+F159+F146+F134+F123+F112+F101+F89+F67+F59+#REF!+#REF!+#REF!+F242</f>
        <v>#REF!</v>
      </c>
      <c r="G351" s="13" t="e">
        <f>G343+G311+G290+G266+G254+G230+G209+G197+G184+G171+G159+G146+G134+G123+G112+G101+G89+G67+G59+#REF!+#REF!+#REF!+G242</f>
        <v>#REF!</v>
      </c>
      <c r="H351" s="45">
        <f t="shared" si="80"/>
        <v>0</v>
      </c>
      <c r="I351" s="46">
        <f>++I33++I59+I67+I89+I101+I112+I123+I134+I146+I159+I171+I184+I230+I242+I254+I266+I278+I290+I343-I59-I67-I33</f>
        <v>0</v>
      </c>
      <c r="J351" s="46">
        <f>J343+J311+J290+J266+J254+J230+J209+J197+J184+J171+J159+J146+J134+J123+J112+J101+J89+J67+J59++J242-J311</f>
        <v>0</v>
      </c>
      <c r="K351" s="46">
        <f>K343+K311+K290+K266+K254+K230+K209+K197+K184+K171+K159+K146+K134+K123+K112+K101+K89+K67+K59+K242</f>
        <v>0</v>
      </c>
    </row>
    <row r="352" spans="1:12" ht="27" customHeight="1" x14ac:dyDescent="0.2">
      <c r="A352" s="104" t="s">
        <v>42</v>
      </c>
      <c r="B352" s="105"/>
      <c r="C352" s="21" t="s">
        <v>8</v>
      </c>
      <c r="D352" s="26">
        <f t="shared" si="79"/>
        <v>2042233</v>
      </c>
      <c r="E352" s="13">
        <f>E345+E332+E315+E306+E297+E296+E285+E284+E273+E272+E261+E260+E249+E248+E237+E235+E216+E214+E202+E204+E191+E189+E179+E176+E166+E165+E154+E151+E141+E139+E129+E128+E118+E117+E107+E106+E96+E95+E79+E76+E71+E63+E51+E47+E37+E32+E19+E323</f>
        <v>2041555</v>
      </c>
      <c r="F352" s="13">
        <f>F345+F332+F315+F306+F297+F296+F285+F284+F273+F272+F261+F260+F249+F248+F237+F235+F216+F214+F202+F204+F191+F189+F179+F176+F166+F165+F154+F151+F141+F139+F129+F128+F118+F117+F107+F106+F96+F95+F79+F76+F71+F63+F51+F47+F37+F32+F19</f>
        <v>623794</v>
      </c>
      <c r="G352" s="13">
        <f>G345+G332+G315+G306+G297+G296+G285+G284+G273+G272+G261+G260+G249+G248+G237+G235+G216+G214+G202+G204+G191+G189+G179+G176+G166+G165+G154+G151+G141+G139+G129+G128+G118+G117+G107+G106+G96+G95+G79+G76+G71+G63+G51+G47+G37+G32+G19</f>
        <v>678</v>
      </c>
      <c r="H352" s="45">
        <f t="shared" si="80"/>
        <v>2155782</v>
      </c>
      <c r="I352" s="46">
        <f>+I19+I32+I37+I47+I51+I63+I71+I76+I79+I95+I96+I106+I107+I117+I118+I128+I129+I141+I154+I166+I179+I189+I191+I202+I204+I216+I237+I249+I261+++I273+I285+I306+I315+I323+I332+I345+I297+I84+I225+I139+I151+I165+I176++I236++I260+I271+I284</f>
        <v>2155782</v>
      </c>
      <c r="J352" s="46">
        <f>+J19+J32+J37+J47+J51+J63+J71+J76+J79+J95+J96+J106+J107+J117+J118+J128+J129+J141+J154+J166+J179+J189+J191+J202+J204+J216+J237+J249+J261+++J273+J285+J306+J315+J323+J332+J345+J297+J84+J225+J139+J151+J165+J176++J236++J260+J271+J284</f>
        <v>1099599</v>
      </c>
      <c r="K352" s="46">
        <f>+K19+K32+K37+K47+K51+K63+K71+K76+K79+K95+K96+K106+K107+K117+K118+K128+K129+K141+K154+K166+K179+K189+K191+K202+K204+K216+K237+K249+K261+++K273+K285+K306+K315+K323+K332+K345+K297+K84+K225+K139+K151+K165+K176++K236++K260+K271+K284</f>
        <v>0</v>
      </c>
    </row>
    <row r="353" spans="1:12" ht="18" customHeight="1" x14ac:dyDescent="0.2">
      <c r="A353" s="104" t="s">
        <v>98</v>
      </c>
      <c r="B353" s="105"/>
      <c r="C353" s="21" t="s">
        <v>10</v>
      </c>
      <c r="D353" s="26">
        <f t="shared" si="79"/>
        <v>3989447</v>
      </c>
      <c r="E353" s="13">
        <f>E328+E319+E302+E291+E279+E267+E255+E243+E231+E210+E198+E185+E172+E160+E147+E135+E124+E113+E102+E90+E16</f>
        <v>3977772</v>
      </c>
      <c r="F353" s="13">
        <f>F328+F319+F302+F291+F279+F267+F255+F243+F231+F210+F198+F185+F172+F160+F147+F135+F124+F113+F102+F90+F16</f>
        <v>2970133</v>
      </c>
      <c r="G353" s="13">
        <f>G328+G319+G302+G291+G279+G267+G255+G243+G231+G210+G198+G185+G172+G160+G147+G135+G124+G113+G102+G90+G16</f>
        <v>11675</v>
      </c>
      <c r="H353" s="45">
        <f t="shared" si="80"/>
        <v>3871200</v>
      </c>
      <c r="I353" s="46">
        <f>I328+I319+I302+I291+I279+I267+I255+I243+I231+I210+I198+I185+I172+I160+I147+I135+I124+I113+I102+I90+I16+I59+I67+I220+I311</f>
        <v>3871200</v>
      </c>
      <c r="J353" s="46">
        <f>J328+J319+J302+J291+J279+J267+J255+J243+J231+J210+J198+J185+J172+J160+J147+J135+J124+J113+J102+J90+J16+J59+J67+J220+J311</f>
        <v>3675679</v>
      </c>
      <c r="K353" s="46">
        <f>K328+K319+K302+K291+K279+K267+K255+K243+K231+K210+K198+K185+K172+K160+K147+K135+K124+K113+K102+K90+K16+K59+K67+K220+K311</f>
        <v>0</v>
      </c>
    </row>
    <row r="354" spans="1:12" ht="27" customHeight="1" x14ac:dyDescent="0.2">
      <c r="A354" s="104" t="s">
        <v>41</v>
      </c>
      <c r="B354" s="105"/>
      <c r="C354" s="21" t="s">
        <v>9</v>
      </c>
      <c r="D354" s="26" t="e">
        <f t="shared" si="79"/>
        <v>#REF!</v>
      </c>
      <c r="E354" s="13">
        <f>E56+E20</f>
        <v>0</v>
      </c>
      <c r="F354" s="13">
        <f>F56+F20</f>
        <v>0</v>
      </c>
      <c r="G354" s="13" t="e">
        <f>G56+G20+#REF!</f>
        <v>#REF!</v>
      </c>
      <c r="H354" s="45">
        <f t="shared" si="80"/>
        <v>825390</v>
      </c>
      <c r="I354" s="46">
        <v>0</v>
      </c>
      <c r="J354" s="46">
        <f>J56+J20</f>
        <v>0</v>
      </c>
      <c r="K354" s="46">
        <f>K56+K20</f>
        <v>825390</v>
      </c>
    </row>
    <row r="355" spans="1:12" ht="18" customHeight="1" x14ac:dyDescent="0.2">
      <c r="A355" s="104" t="s">
        <v>53</v>
      </c>
      <c r="B355" s="105"/>
      <c r="C355" s="21" t="s">
        <v>11</v>
      </c>
      <c r="D355" s="26">
        <f t="shared" si="79"/>
        <v>30931</v>
      </c>
      <c r="E355" s="13">
        <f>E93</f>
        <v>30931</v>
      </c>
      <c r="F355" s="13">
        <f>F93</f>
        <v>13366</v>
      </c>
      <c r="G355" s="13">
        <f>G93</f>
        <v>0</v>
      </c>
      <c r="H355" s="45">
        <f t="shared" si="80"/>
        <v>1430303</v>
      </c>
      <c r="I355" s="46">
        <f>I93+I28+I61+I69+I222+I303++I313+I136+I148++I256+I280+I38+I46+I52+I77+I103++I114+I125+I161+I173++I186+I199+I211+I232+I244+I268+I292+I320+I330+I344+I15-I77</f>
        <v>493668</v>
      </c>
      <c r="J355" s="46">
        <f>J93+J28+J61+J69+J222+J303++J313+J136+J148++J256+J280+J38+J46+J52+J77+J103++J114+J125+J161+J173++J186+J199+J211+J232+J244+J268+J292+J320+J330+J344+J15</f>
        <v>55400</v>
      </c>
      <c r="K355" s="46">
        <f>K93+K28+K61+K69+K222+K303++K313+K136+K148++K256+K280+K38+K46+K52+K77+K103++K114+K125+K161+K173++K186+K199+K211+K232+K244+K268+K292+K320+K330+K344+K15+K23</f>
        <v>936635</v>
      </c>
    </row>
    <row r="356" spans="1:12" ht="18" customHeight="1" x14ac:dyDescent="0.2">
      <c r="A356" s="104" t="s">
        <v>40</v>
      </c>
      <c r="B356" s="105"/>
      <c r="C356" s="21" t="s">
        <v>6</v>
      </c>
      <c r="D356" s="26">
        <f t="shared" si="79"/>
        <v>364502</v>
      </c>
      <c r="E356" s="13">
        <f>E34+E27</f>
        <v>364502</v>
      </c>
      <c r="F356" s="13">
        <f>F34+F27</f>
        <v>0</v>
      </c>
      <c r="G356" s="13">
        <f>G34+G27</f>
        <v>0</v>
      </c>
      <c r="H356" s="45">
        <f t="shared" si="80"/>
        <v>564031</v>
      </c>
      <c r="I356" s="46">
        <f>I34+I27+I77</f>
        <v>564031</v>
      </c>
      <c r="J356" s="46">
        <f>J34+J27+J77</f>
        <v>0</v>
      </c>
      <c r="K356" s="46">
        <f>K34+K27+K77</f>
        <v>0</v>
      </c>
    </row>
    <row r="357" spans="1:12" ht="18" customHeight="1" x14ac:dyDescent="0.2">
      <c r="A357" s="104" t="s">
        <v>90</v>
      </c>
      <c r="B357" s="105"/>
      <c r="C357" s="21" t="s">
        <v>89</v>
      </c>
      <c r="D357" s="26" t="e">
        <f t="shared" si="79"/>
        <v>#REF!</v>
      </c>
      <c r="E357" s="13"/>
      <c r="F357" s="13" t="e">
        <f>F295+F283+F271+F247+F215+F203+F190+F177+F164+F152+#REF!+#REF!</f>
        <v>#REF!</v>
      </c>
      <c r="G357" s="13" t="e">
        <f>G295+G283+G271+G247+G215+G203+G190+G177+G164+G152+#REF!+#REF!</f>
        <v>#REF!</v>
      </c>
      <c r="H357" s="45">
        <f t="shared" si="80"/>
        <v>88525</v>
      </c>
      <c r="I357" s="46">
        <f>+I22</f>
        <v>4020</v>
      </c>
      <c r="J357" s="46">
        <f>+J22</f>
        <v>0</v>
      </c>
      <c r="K357" s="46">
        <f>+K22</f>
        <v>84505</v>
      </c>
    </row>
    <row r="358" spans="1:12" ht="18" customHeight="1" x14ac:dyDescent="0.2">
      <c r="A358" s="104" t="s">
        <v>38</v>
      </c>
      <c r="B358" s="105"/>
      <c r="C358" s="21" t="s">
        <v>5</v>
      </c>
      <c r="D358" s="26">
        <f t="shared" si="79"/>
        <v>486315</v>
      </c>
      <c r="E358" s="13">
        <f>E344+E331+E321+E314+E304+E293+E281+E269+E257+E245+E233+E223+E212+E200+E187+E174+E162+E149+E137+E126+E115+E104+E91+E78+E70+E62+E53+E40+E29</f>
        <v>480254</v>
      </c>
      <c r="F358" s="13">
        <f>F344+F331+F321+F314+F304+F293+F281+F269+F257+F245+F233+F223+F212+F200+F187+F174+F162+F149+F137+F126+F115+F104+F91+F78+F70+F62+F53+F40+F29</f>
        <v>17618</v>
      </c>
      <c r="G358" s="13">
        <f>G344+G331+G321+G314+G304+G293+G281+G269+G257+G245+G233+G223+G212+G200+G187+G174+G162+G149+G137+G126+G115+G104+G91+G78+G70+G62+G53+G40+G29</f>
        <v>6061</v>
      </c>
      <c r="H358" s="45">
        <f t="shared" si="80"/>
        <v>574585</v>
      </c>
      <c r="I358" s="46">
        <f>I331+I321+I314+I304+I293+I281+I269+I257+I245+I233+I223+I212+I200+I187+I174+I162+I149+I137+I126+I115+I104+I91+I78+I70+I62+I53+I40+I29+I23+I33</f>
        <v>543385</v>
      </c>
      <c r="J358" s="46">
        <f>J331+J321+J314+J304+J293+J281+J269+J257+J245+J233+J223+J212+J200+J187+J174+J162+J149+J137+J126+J115+J104+J91+J78+J70+J62+J53+J40+J29+J23</f>
        <v>30170</v>
      </c>
      <c r="K358" s="46">
        <f>K331+K321+K314+K304+K293+K281+K269+K257+K245+K233+K223+K212+K200+K187+K174+K162+K149+K137+K126+K115+K104+K91+K78+K70+K62+K53+K40+K29+K23-K23</f>
        <v>31200</v>
      </c>
    </row>
    <row r="359" spans="1:12" ht="18" customHeight="1" x14ac:dyDescent="0.2">
      <c r="A359" s="104" t="s">
        <v>87</v>
      </c>
      <c r="B359" s="105"/>
      <c r="C359" s="21" t="s">
        <v>81</v>
      </c>
      <c r="D359" s="26" t="e">
        <f t="shared" si="79"/>
        <v>#REF!</v>
      </c>
      <c r="E359" s="13" t="e">
        <f>E329+E320+E303+E280+E244+E232+E220+E211+E199+E186+E173+E148+E136+E127+E116+E105+E92+#REF!+#REF!+#REF!</f>
        <v>#REF!</v>
      </c>
      <c r="F359" s="13" t="e">
        <f>F329+F320+F303+F280+F244+F232+F220+F211+F199+F186+F173+F148+F136+F127+F116+F105+F92+#REF!+#REF!+#REF!</f>
        <v>#REF!</v>
      </c>
      <c r="G359" s="13" t="e">
        <f>G329+G320+G303+G280+G244+G232+G220+G211+G199+G186+G173+G148+G136+G127+G116+G105+G92+#REF!+#REF!+#REF!</f>
        <v>#REF!</v>
      </c>
      <c r="H359" s="45">
        <f t="shared" si="80"/>
        <v>1422434</v>
      </c>
      <c r="I359" s="46">
        <f>+I14+I60+I68+I221+I312+I329+I21+I39</f>
        <v>144154</v>
      </c>
      <c r="J359" s="46">
        <f>+J14+J60+J68+J221+J312+J329+J21+J39</f>
        <v>11460</v>
      </c>
      <c r="K359" s="46">
        <f>+K14+K60+K68+K221+K312+K329+K21+K39</f>
        <v>1278280</v>
      </c>
      <c r="L359" s="46">
        <f>+L14+L60+L68+L221+L312+L329+L21</f>
        <v>0</v>
      </c>
    </row>
    <row r="360" spans="1:12" ht="18" customHeight="1" x14ac:dyDescent="0.2">
      <c r="A360" s="104" t="s">
        <v>39</v>
      </c>
      <c r="B360" s="105"/>
      <c r="C360" s="21" t="s">
        <v>7</v>
      </c>
      <c r="D360" s="26">
        <f t="shared" si="79"/>
        <v>1402629</v>
      </c>
      <c r="E360" s="13">
        <f>E24+E84</f>
        <v>0</v>
      </c>
      <c r="F360" s="13">
        <f>F24+F84</f>
        <v>0</v>
      </c>
      <c r="G360" s="13">
        <f>G24+G84+G217</f>
        <v>1402629</v>
      </c>
      <c r="H360" s="45">
        <f t="shared" si="80"/>
        <v>4297</v>
      </c>
      <c r="I360" s="46">
        <f>I24+I84-I84</f>
        <v>0</v>
      </c>
      <c r="J360" s="46">
        <f>J24+J84</f>
        <v>0</v>
      </c>
      <c r="K360" s="46">
        <f>K24+K84-K84+K83</f>
        <v>4297</v>
      </c>
    </row>
    <row r="361" spans="1:12" ht="15" hidden="1" customHeight="1" x14ac:dyDescent="0.2">
      <c r="A361" s="62"/>
      <c r="B361" s="63"/>
      <c r="C361" s="21" t="s">
        <v>7</v>
      </c>
      <c r="D361" s="26" t="e">
        <f t="shared" si="79"/>
        <v>#REF!</v>
      </c>
      <c r="E361" s="13" t="e">
        <f>#REF!</f>
        <v>#REF!</v>
      </c>
      <c r="F361" s="13" t="e">
        <f>#REF!</f>
        <v>#REF!</v>
      </c>
      <c r="G361" s="13" t="e">
        <f>#REF!</f>
        <v>#REF!</v>
      </c>
      <c r="H361" s="32" t="e">
        <f t="shared" si="80"/>
        <v>#REF!</v>
      </c>
      <c r="I361" s="47" t="e">
        <f>#REF!</f>
        <v>#REF!</v>
      </c>
      <c r="J361" s="47" t="e">
        <f>#REF!</f>
        <v>#REF!</v>
      </c>
      <c r="K361" s="47" t="e">
        <f>#REF!</f>
        <v>#REF!</v>
      </c>
    </row>
    <row r="362" spans="1:12" ht="30" customHeight="1" x14ac:dyDescent="0.2">
      <c r="A362" s="62">
        <v>1</v>
      </c>
      <c r="B362" s="102" t="s">
        <v>82</v>
      </c>
      <c r="C362" s="103"/>
      <c r="D362" s="26">
        <f>D326+D316+D309+D300+D288+D276+D264+D252+D240+D228+D217+D207+D195+D182+D169+D157+D144+D132+D121+D110+D99+D87+D65+D57+D12</f>
        <v>7645562</v>
      </c>
      <c r="E362" s="13">
        <f>E326+E316+E309+E300+E288+E276+E264+E252+E240+E228+E217+E207+E195+E182+E169+E157+E144+E132+E121+E110+E99+E87+E65+E57+E12</f>
        <v>7614713</v>
      </c>
      <c r="F362" s="13">
        <f>F326+F316+F309+F300+F288+F276+F264+F252+F240+F228+F217+F207+F195+F182+F169+F157+F144+F132+F121+F110+F99+F87+F65+F57+F12</f>
        <v>4897632</v>
      </c>
      <c r="G362" s="13">
        <f>G326+G316+G309+G300+G288+G276+G264+G252+G240+G228+G217+G207+G195+G182+G169+G157+G144+G132+G121+G110+G99+G87+G65+G57+G12</f>
        <v>30849</v>
      </c>
      <c r="H362" s="45">
        <f>H326+H317+H309+H300+H288+H276+H264+H252+H240+H228+H218+H207+H195+H182+H169+H157+H144+H132+H121+H110+H99+H87+H65+H57+H12</f>
        <v>8718794</v>
      </c>
      <c r="I362" s="46">
        <f>I326+I317+I309+I300+I288+I276+I264+I252+I240+I228+I218+I207+I195+I182+I169+I157+I144+I132+I121+I110+I99+I87+I65+I57+I12</f>
        <v>8700779</v>
      </c>
      <c r="J362" s="46">
        <f>J326+J316+J309+J300+J288+J276+J264+J252+J240+J228+J217+J207+J195+J182+J169+J157+J144+J132+J121+J110+J99+J87+J65+J57+J12</f>
        <v>7055654</v>
      </c>
      <c r="K362" s="46">
        <f>K326+K316+K309+K300+K288+K276+K264+K252+K240+K228++K207+K195+K182+K169+K157+K144+K132+K121+K110+K99+K87+K65+K57+K12</f>
        <v>18015</v>
      </c>
    </row>
    <row r="363" spans="1:12" ht="30" customHeight="1" x14ac:dyDescent="0.2">
      <c r="A363" s="62">
        <v>2</v>
      </c>
      <c r="B363" s="102" t="s">
        <v>28</v>
      </c>
      <c r="C363" s="103"/>
      <c r="D363" s="26">
        <f>D17+D56+D224</f>
        <v>1174592</v>
      </c>
      <c r="E363" s="13">
        <f>E17+E56</f>
        <v>310132</v>
      </c>
      <c r="F363" s="13">
        <f>F17+F56</f>
        <v>20273</v>
      </c>
      <c r="G363" s="13">
        <f>G17+G56+G224</f>
        <v>864460</v>
      </c>
      <c r="H363" s="45">
        <f>H17+H56+H224</f>
        <v>3463572</v>
      </c>
      <c r="I363" s="46">
        <f>I17+I56</f>
        <v>383793</v>
      </c>
      <c r="J363" s="46">
        <f>J17+J56</f>
        <v>8750</v>
      </c>
      <c r="K363" s="46">
        <f>K17+K56+K217</f>
        <v>3079779</v>
      </c>
    </row>
    <row r="364" spans="1:12" ht="25.15" customHeight="1" x14ac:dyDescent="0.2">
      <c r="A364" s="62">
        <v>3</v>
      </c>
      <c r="B364" s="102" t="s">
        <v>29</v>
      </c>
      <c r="C364" s="103"/>
      <c r="D364" s="26">
        <f>D25</f>
        <v>1115861</v>
      </c>
      <c r="E364" s="13">
        <f>E25</f>
        <v>1112994</v>
      </c>
      <c r="F364" s="13">
        <f>F25</f>
        <v>41155</v>
      </c>
      <c r="G364" s="13">
        <f>G25</f>
        <v>2867</v>
      </c>
      <c r="H364" s="45">
        <f>H25</f>
        <v>2909529</v>
      </c>
      <c r="I364" s="46">
        <f>I25</f>
        <v>2049899</v>
      </c>
      <c r="J364" s="46">
        <f>J25</f>
        <v>115300</v>
      </c>
      <c r="K364" s="46">
        <f>K25</f>
        <v>859630</v>
      </c>
    </row>
    <row r="365" spans="1:12" ht="25.15" customHeight="1" x14ac:dyDescent="0.2">
      <c r="A365" s="62">
        <v>4</v>
      </c>
      <c r="B365" s="102" t="s">
        <v>30</v>
      </c>
      <c r="C365" s="103"/>
      <c r="D365" s="26">
        <f>D341+D305+D294+D282+D270+D260+D246+D235+D213+D201+D188+D175+D163+D150+D138+D128+D117+D106+D95+D74+D43+D30+D322</f>
        <v>3168716</v>
      </c>
      <c r="E365" s="13">
        <f>E341+E305+E294+E282+E270+E260+E246+E235+E213+E201+E188+E175+E163+E150+E138+E128+E117+E106+E95+E74+E43+E30+E322</f>
        <v>3164488</v>
      </c>
      <c r="F365" s="13">
        <f>F341+F305+F294+F282+F270+F260+F246+F235+F213+F201+F188+F175+F163+F150+F138+F128+F117+F106+F95+F74+F43+F30</f>
        <v>591522</v>
      </c>
      <c r="G365" s="13">
        <f>G341+G305+G294+G282+G270+G260+G246+G235+G213+G201+G188+G175+G163+G150+G138+G128+G117+G106+G95+G74+G43+G30</f>
        <v>4228</v>
      </c>
      <c r="H365" s="45">
        <f>H341+H305+H294+H282+H270+H258+H246+H234+H213+H201+H188+H175+H163+H150+H138+H128+H117+H106+H95+H74+H43+H30+H322</f>
        <v>3784767</v>
      </c>
      <c r="I365" s="46">
        <f>I341+I305+I294+I282+I270+I258+I246+I234+I213+I201+I188+I175+I163+I150+I138+I128+I117+I106+I95+I74+I43+I30+I322</f>
        <v>3760767</v>
      </c>
      <c r="J365" s="46">
        <f>J341+J305+J294+J282+J270+J258+J246+J234+J213+J201+J188+J175+J163+J150+J138+J128+J117+J106+J95+J74+J43+J30+J322</f>
        <v>1321340</v>
      </c>
      <c r="K365" s="46">
        <f>K341+K305+K294+K282+K270+K258+K246+K234+K213+K201+K188+K175+K163+K150+K138+K128+K117+K106+K95+K74+K43+K30+K322</f>
        <v>24000</v>
      </c>
    </row>
    <row r="366" spans="1:12" ht="30" customHeight="1" x14ac:dyDescent="0.2">
      <c r="A366" s="62">
        <v>5</v>
      </c>
      <c r="B366" s="102" t="s">
        <v>31</v>
      </c>
      <c r="C366" s="103"/>
      <c r="D366" s="26">
        <f>D345+D338+D335+D332+D315+D306+D297+D285+D273+D261+D249+D237+D216+D204+D191+D179+D166+D154+D141+D129+D118+D107+D96+D80+D79+D71+D63+D48+D35+D323</f>
        <v>2983276</v>
      </c>
      <c r="E366" s="13">
        <f>E345+E338+E335+E332+E315+E306+E297+E285+E273+E261+E249+E237+E216+E204+E191+E179+E166+E154+E141+E129+E118+E107+E96+E80+E79+E71+E63+E48+E35+E323</f>
        <v>2167397</v>
      </c>
      <c r="F366" s="13">
        <f>F345+F338+F335+F332+F315+F306+F297+F285+F273+F261+F249+F237+F216+F204+F191+F179+F166+F154+F141+F129+F118+F107+F96+F80+F79+F71+F63+F48+F35+F323</f>
        <v>1129041</v>
      </c>
      <c r="G366" s="13">
        <f>G345+G338+G335+G332+G315+G306+G297+G285+G273+G261+G249+G237+G216+G204+G191+G179+G166+G154+G141+G129+G118+G107+G96+G80+G79+G71+G63+G48+G35+G323</f>
        <v>815879</v>
      </c>
      <c r="H366" s="45">
        <f>H345+H338+H335+H332+H315+H306+H297+H285+H273+H261+H249+H237+H216+H204+H191+H179+H166+H154+H141+H129+H118+H107+H96+H80+H79+H71+H63+H48+H35+H323+H225</f>
        <v>2981704</v>
      </c>
      <c r="I366" s="46">
        <f>I345+I338+I335+I332+I315+I306+I297+I285+I273+I261+I249+I237+I216+I204+I191+I179+I166+I154+I141+I129+I118+I107+I96+I80+I79+I71+I63+I48+I35+I323+I225</f>
        <v>2909564</v>
      </c>
      <c r="J366" s="46">
        <f>J345+J338+J335+J332+J315+J306+J297+J285+J273+J261+J249+J237+J216+J204+J191+J179+J166+J154+J141+J129+J118+J107+J96+J80+J79+J71+J63+J48+J35+J323+J225</f>
        <v>2112124</v>
      </c>
      <c r="K366" s="46">
        <f>K345+K338+K335+K332+K315+K306+K297+K285+K273+K261+K249+K237+K216+K204+K191+K179+K166+K154+K141+K129+K118+K107+K96+K80+K79+K71+K63+K48+K35+K323+K225</f>
        <v>72140</v>
      </c>
    </row>
    <row r="367" spans="1:12" hidden="1" x14ac:dyDescent="0.2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</row>
    <row r="368" spans="1:12" ht="18" hidden="1" customHeight="1" x14ac:dyDescent="0.2">
      <c r="A368" s="33" t="s">
        <v>55</v>
      </c>
      <c r="B368" s="99" t="s">
        <v>56</v>
      </c>
      <c r="C368" s="100"/>
      <c r="D368" s="60"/>
      <c r="E368" s="60"/>
      <c r="F368" s="60"/>
      <c r="G368" s="60"/>
      <c r="H368" s="34">
        <v>1968588</v>
      </c>
      <c r="I368" s="35">
        <v>1361159</v>
      </c>
      <c r="J368" s="35">
        <v>719695</v>
      </c>
      <c r="K368" s="35">
        <v>607429</v>
      </c>
    </row>
    <row r="369" spans="1:11" ht="18" hidden="1" customHeight="1" x14ac:dyDescent="0.2">
      <c r="A369" s="33" t="s">
        <v>75</v>
      </c>
      <c r="B369" s="99" t="s">
        <v>57</v>
      </c>
      <c r="C369" s="100"/>
      <c r="D369" s="60"/>
      <c r="E369" s="60"/>
      <c r="F369" s="60"/>
      <c r="G369" s="60"/>
      <c r="H369" s="34">
        <v>18728</v>
      </c>
      <c r="I369" s="35">
        <v>18728</v>
      </c>
      <c r="J369" s="35">
        <v>12587</v>
      </c>
      <c r="K369" s="35">
        <v>0</v>
      </c>
    </row>
    <row r="370" spans="1:11" ht="18" hidden="1" customHeight="1" x14ac:dyDescent="0.2">
      <c r="A370" s="33" t="s">
        <v>58</v>
      </c>
      <c r="B370" s="99" t="s">
        <v>59</v>
      </c>
      <c r="C370" s="100"/>
      <c r="D370" s="60"/>
      <c r="E370" s="60"/>
      <c r="F370" s="60"/>
      <c r="G370" s="60"/>
      <c r="H370" s="34">
        <v>419521</v>
      </c>
      <c r="I370" s="35">
        <v>419521</v>
      </c>
      <c r="J370" s="35">
        <v>263963</v>
      </c>
      <c r="K370" s="35">
        <v>0</v>
      </c>
    </row>
    <row r="371" spans="1:11" ht="18" hidden="1" customHeight="1" x14ac:dyDescent="0.2">
      <c r="A371" s="33" t="s">
        <v>60</v>
      </c>
      <c r="B371" s="99" t="s">
        <v>61</v>
      </c>
      <c r="C371" s="100"/>
      <c r="D371" s="60"/>
      <c r="E371" s="60"/>
      <c r="F371" s="60"/>
      <c r="G371" s="60"/>
      <c r="H371" s="34">
        <v>837479</v>
      </c>
      <c r="I371" s="35">
        <v>589795</v>
      </c>
      <c r="J371" s="35">
        <v>126400</v>
      </c>
      <c r="K371" s="35">
        <v>247684</v>
      </c>
    </row>
    <row r="372" spans="1:11" ht="18" hidden="1" customHeight="1" x14ac:dyDescent="0.2">
      <c r="A372" s="33" t="s">
        <v>62</v>
      </c>
      <c r="B372" s="99" t="s">
        <v>63</v>
      </c>
      <c r="C372" s="100"/>
      <c r="D372" s="60"/>
      <c r="E372" s="60"/>
      <c r="F372" s="60"/>
      <c r="G372" s="60"/>
      <c r="H372" s="34">
        <v>728527</v>
      </c>
      <c r="I372" s="35">
        <v>647958</v>
      </c>
      <c r="J372" s="35">
        <v>8819</v>
      </c>
      <c r="K372" s="35">
        <v>80569</v>
      </c>
    </row>
    <row r="373" spans="1:11" ht="18" hidden="1" customHeight="1" x14ac:dyDescent="0.2">
      <c r="A373" s="33" t="s">
        <v>64</v>
      </c>
      <c r="B373" s="99" t="s">
        <v>65</v>
      </c>
      <c r="C373" s="100"/>
      <c r="D373" s="60"/>
      <c r="E373" s="60"/>
      <c r="F373" s="60"/>
      <c r="G373" s="60"/>
      <c r="H373" s="34">
        <v>264348</v>
      </c>
      <c r="I373" s="35">
        <v>240183</v>
      </c>
      <c r="J373" s="35">
        <v>33925</v>
      </c>
      <c r="K373" s="35">
        <v>24165</v>
      </c>
    </row>
    <row r="374" spans="1:11" ht="18" hidden="1" customHeight="1" x14ac:dyDescent="0.2">
      <c r="A374" s="33" t="s">
        <v>66</v>
      </c>
      <c r="B374" s="99" t="s">
        <v>67</v>
      </c>
      <c r="C374" s="100"/>
      <c r="D374" s="60"/>
      <c r="E374" s="60"/>
      <c r="F374" s="60"/>
      <c r="G374" s="60"/>
      <c r="H374" s="34">
        <v>205306</v>
      </c>
      <c r="I374" s="35">
        <v>103939</v>
      </c>
      <c r="J374" s="35">
        <v>42242</v>
      </c>
      <c r="K374" s="35">
        <v>101367</v>
      </c>
    </row>
    <row r="375" spans="1:11" ht="18" hidden="1" customHeight="1" x14ac:dyDescent="0.2">
      <c r="A375" s="33" t="s">
        <v>68</v>
      </c>
      <c r="B375" s="99" t="s">
        <v>69</v>
      </c>
      <c r="C375" s="100"/>
      <c r="D375" s="60"/>
      <c r="E375" s="60"/>
      <c r="F375" s="60"/>
      <c r="G375" s="60"/>
      <c r="H375" s="34">
        <v>1197686</v>
      </c>
      <c r="I375" s="35">
        <v>1012547</v>
      </c>
      <c r="J375" s="35">
        <v>584240</v>
      </c>
      <c r="K375" s="35">
        <v>185139</v>
      </c>
    </row>
    <row r="376" spans="1:11" ht="18" hidden="1" customHeight="1" x14ac:dyDescent="0.2">
      <c r="A376" s="33" t="s">
        <v>70</v>
      </c>
      <c r="B376" s="99" t="s">
        <v>71</v>
      </c>
      <c r="C376" s="100"/>
      <c r="D376" s="60"/>
      <c r="E376" s="60"/>
      <c r="F376" s="60"/>
      <c r="G376" s="60"/>
      <c r="H376" s="34">
        <v>7246746</v>
      </c>
      <c r="I376" s="35">
        <v>7102560</v>
      </c>
      <c r="J376" s="35">
        <v>4318132</v>
      </c>
      <c r="K376" s="35">
        <v>144186</v>
      </c>
    </row>
    <row r="377" spans="1:11" ht="18" hidden="1" customHeight="1" x14ac:dyDescent="0.2">
      <c r="A377" s="33" t="s">
        <v>72</v>
      </c>
      <c r="B377" s="99" t="s">
        <v>73</v>
      </c>
      <c r="C377" s="100"/>
      <c r="D377" s="60"/>
      <c r="E377" s="60"/>
      <c r="F377" s="60"/>
      <c r="G377" s="60"/>
      <c r="H377" s="34">
        <v>2993728</v>
      </c>
      <c r="I377" s="35">
        <v>2669756</v>
      </c>
      <c r="J377" s="35">
        <v>500702</v>
      </c>
      <c r="K377" s="35">
        <v>323972</v>
      </c>
    </row>
    <row r="378" spans="1:11" x14ac:dyDescent="0.2">
      <c r="C378" s="8" t="s">
        <v>74</v>
      </c>
    </row>
  </sheetData>
  <mergeCells count="195">
    <mergeCell ref="A354:B354"/>
    <mergeCell ref="A351:B351"/>
    <mergeCell ref="A350:B350"/>
    <mergeCell ref="A352:B352"/>
    <mergeCell ref="A353:B353"/>
    <mergeCell ref="B347:C347"/>
    <mergeCell ref="B349:C349"/>
    <mergeCell ref="B348:C348"/>
    <mergeCell ref="A360:B360"/>
    <mergeCell ref="A355:B355"/>
    <mergeCell ref="A367:K367"/>
    <mergeCell ref="B366:C366"/>
    <mergeCell ref="B362:C362"/>
    <mergeCell ref="B363:C363"/>
    <mergeCell ref="B364:C364"/>
    <mergeCell ref="B365:C365"/>
    <mergeCell ref="A356:B356"/>
    <mergeCell ref="A357:B357"/>
    <mergeCell ref="A359:B359"/>
    <mergeCell ref="A358:B358"/>
    <mergeCell ref="B374:C374"/>
    <mergeCell ref="B375:C375"/>
    <mergeCell ref="B376:C376"/>
    <mergeCell ref="B377:C377"/>
    <mergeCell ref="B368:C368"/>
    <mergeCell ref="B369:C369"/>
    <mergeCell ref="B370:C370"/>
    <mergeCell ref="B371:C371"/>
    <mergeCell ref="B372:C372"/>
    <mergeCell ref="B373:C373"/>
    <mergeCell ref="A276:A281"/>
    <mergeCell ref="A282:A284"/>
    <mergeCell ref="B282:B284"/>
    <mergeCell ref="A275:C275"/>
    <mergeCell ref="A340:C340"/>
    <mergeCell ref="A337:C337"/>
    <mergeCell ref="A336:C336"/>
    <mergeCell ref="A339:C339"/>
    <mergeCell ref="B346:C346"/>
    <mergeCell ref="B326:B331"/>
    <mergeCell ref="A326:A331"/>
    <mergeCell ref="A334:C334"/>
    <mergeCell ref="A341:A344"/>
    <mergeCell ref="B341:B344"/>
    <mergeCell ref="A317:A321"/>
    <mergeCell ref="B317:B321"/>
    <mergeCell ref="A316:C316"/>
    <mergeCell ref="A333:C333"/>
    <mergeCell ref="A309:A314"/>
    <mergeCell ref="B309:B314"/>
    <mergeCell ref="A299:C299"/>
    <mergeCell ref="A325:C325"/>
    <mergeCell ref="A324:C324"/>
    <mergeCell ref="A217:C217"/>
    <mergeCell ref="A205:C205"/>
    <mergeCell ref="A252:A257"/>
    <mergeCell ref="A251:C251"/>
    <mergeCell ref="B234:B236"/>
    <mergeCell ref="A238:C238"/>
    <mergeCell ref="B252:B257"/>
    <mergeCell ref="A246:A248"/>
    <mergeCell ref="B246:B248"/>
    <mergeCell ref="A239:C239"/>
    <mergeCell ref="G8:G9"/>
    <mergeCell ref="B169:B174"/>
    <mergeCell ref="A142:C142"/>
    <mergeCell ref="A108:C108"/>
    <mergeCell ref="B110:B116"/>
    <mergeCell ref="A110:A116"/>
    <mergeCell ref="A109:C109"/>
    <mergeCell ref="A169:A174"/>
    <mergeCell ref="A167:C167"/>
    <mergeCell ref="A163:A165"/>
    <mergeCell ref="A120:C120"/>
    <mergeCell ref="A150:A153"/>
    <mergeCell ref="A119:C119"/>
    <mergeCell ref="A55:C55"/>
    <mergeCell ref="B25:B29"/>
    <mergeCell ref="A50:A53"/>
    <mergeCell ref="B50:B53"/>
    <mergeCell ref="B150:B153"/>
    <mergeCell ref="B121:B127"/>
    <mergeCell ref="A138:A140"/>
    <mergeCell ref="B138:B140"/>
    <mergeCell ref="A25:A29"/>
    <mergeCell ref="B12:B16"/>
    <mergeCell ref="E8:F8"/>
    <mergeCell ref="A6:L6"/>
    <mergeCell ref="A270:A272"/>
    <mergeCell ref="B270:B272"/>
    <mergeCell ref="B240:B245"/>
    <mergeCell ref="A234:A236"/>
    <mergeCell ref="A226:C226"/>
    <mergeCell ref="A240:A245"/>
    <mergeCell ref="A80:C80"/>
    <mergeCell ref="B144:B149"/>
    <mergeCell ref="A144:A149"/>
    <mergeCell ref="A263:C263"/>
    <mergeCell ref="A264:A269"/>
    <mergeCell ref="A98:C98"/>
    <mergeCell ref="B8:B9"/>
    <mergeCell ref="C8:C9"/>
    <mergeCell ref="H8:H9"/>
    <mergeCell ref="I8:J8"/>
    <mergeCell ref="A17:A24"/>
    <mergeCell ref="B45:B47"/>
    <mergeCell ref="A45:A47"/>
    <mergeCell ref="B35:B40"/>
    <mergeCell ref="K8:K9"/>
    <mergeCell ref="D8:D9"/>
    <mergeCell ref="A262:C262"/>
    <mergeCell ref="A35:A42"/>
    <mergeCell ref="A49:C49"/>
    <mergeCell ref="A30:A34"/>
    <mergeCell ref="A74:A78"/>
    <mergeCell ref="A64:C64"/>
    <mergeCell ref="A73:C73"/>
    <mergeCell ref="A72:C72"/>
    <mergeCell ref="B74:B78"/>
    <mergeCell ref="A65:A70"/>
    <mergeCell ref="B65:B70"/>
    <mergeCell ref="A57:A62"/>
    <mergeCell ref="B57:B62"/>
    <mergeCell ref="A8:A9"/>
    <mergeCell ref="A11:C11"/>
    <mergeCell ref="A43:C43"/>
    <mergeCell ref="A48:C48"/>
    <mergeCell ref="A44:C44"/>
    <mergeCell ref="B17:B24"/>
    <mergeCell ref="A12:A16"/>
    <mergeCell ref="A180:C180"/>
    <mergeCell ref="B157:B162"/>
    <mergeCell ref="B30:B34"/>
    <mergeCell ref="A82:A84"/>
    <mergeCell ref="B82:B84"/>
    <mergeCell ref="A97:C97"/>
    <mergeCell ref="B132:B137"/>
    <mergeCell ref="A143:C143"/>
    <mergeCell ref="A121:A127"/>
    <mergeCell ref="B163:B165"/>
    <mergeCell ref="A94:A95"/>
    <mergeCell ref="B94:B95"/>
    <mergeCell ref="A130:C130"/>
    <mergeCell ref="A132:A137"/>
    <mergeCell ref="A131:C131"/>
    <mergeCell ref="A85:C85"/>
    <mergeCell ref="A155:C155"/>
    <mergeCell ref="B87:B93"/>
    <mergeCell ref="A99:A105"/>
    <mergeCell ref="B99:B105"/>
    <mergeCell ref="A182:A187"/>
    <mergeCell ref="B175:B178"/>
    <mergeCell ref="A228:A233"/>
    <mergeCell ref="B182:B187"/>
    <mergeCell ref="B228:B233"/>
    <mergeCell ref="A207:A212"/>
    <mergeCell ref="A194:C194"/>
    <mergeCell ref="A181:C181"/>
    <mergeCell ref="B218:B223"/>
    <mergeCell ref="A218:A223"/>
    <mergeCell ref="A175:A178"/>
    <mergeCell ref="B188:B190"/>
    <mergeCell ref="A193:C193"/>
    <mergeCell ref="A195:A200"/>
    <mergeCell ref="B195:B200"/>
    <mergeCell ref="B213:B215"/>
    <mergeCell ref="A201:A203"/>
    <mergeCell ref="B201:B203"/>
    <mergeCell ref="A188:A190"/>
    <mergeCell ref="A227:C227"/>
    <mergeCell ref="B207:B212"/>
    <mergeCell ref="A86:C86"/>
    <mergeCell ref="B264:B269"/>
    <mergeCell ref="A250:C250"/>
    <mergeCell ref="A274:C274"/>
    <mergeCell ref="A206:C206"/>
    <mergeCell ref="A308:C308"/>
    <mergeCell ref="A288:A293"/>
    <mergeCell ref="B288:B293"/>
    <mergeCell ref="A298:C298"/>
    <mergeCell ref="B276:B281"/>
    <mergeCell ref="A286:C286"/>
    <mergeCell ref="A287:C287"/>
    <mergeCell ref="A294:A296"/>
    <mergeCell ref="B294:B296"/>
    <mergeCell ref="A307:C307"/>
    <mergeCell ref="B300:B304"/>
    <mergeCell ref="A300:A304"/>
    <mergeCell ref="A87:A93"/>
    <mergeCell ref="A156:C156"/>
    <mergeCell ref="A168:C168"/>
    <mergeCell ref="A157:A162"/>
    <mergeCell ref="A258:A260"/>
    <mergeCell ref="B258:B260"/>
    <mergeCell ref="A213:A215"/>
  </mergeCells>
  <phoneticPr fontId="1" type="noConversion"/>
  <conditionalFormatting sqref="H340:H345 H334:H335 H337:H338 I341:K341 H299:H306 H287:H297 H317:H323 D317:D323 D325:D332 D340:D345 D334:D335 D337:D338 E341:G341 D308:D315 D299:D306 D287:D297 H275:H285 H263:H273 H235:H237 H229:H233 H227 H214:H216 H196:H200 H176:H179 H164:H166 H168 H156 H151:H154 H143 H241:H249 H158:H162 H170:H174 H181 H183:H187 H189:H192 H202:H204 H194 H206 H208:H212 H239 D275:D285 D263:D273 D251:D261 D235:D237 D229:D233 D227 D214:D216 D196:D200 D176:D179 D164:D166 D168 D156 D151:D154 D143 D241:D249 D145:D149 D158:D162 D170:D174 D181 D183:D187 D189:D192 D202:D204 D194 D206 D208:D212 D239 D218:D225 H133:H137 H109 H120 H139:H141 H131 D133:D137 D122:D129 D111:D118 D109 D120 D139:D141 D131 D104:D107 H86:H93 H98 D86:D93 D98 D100:D102 D65:D71 D73:D79 D56:D63 D49:D54 D44:D47 D12:D42 H65:H71 H308:H315 H56:H63 H145:H149 L279 H44:H47 H73:H79 H49:H54 H100:H107 H111:H118 H122:H129 H325:H332 J359:L359 H12:H42 H218:H225 H81:H84 D81:D84 H251:H261 D350:K366 H95:H96 D95:D96">
    <cfRule type="cellIs" dxfId="0" priority="6" stopIfTrue="1" operator="equal">
      <formula>0</formula>
    </cfRule>
  </conditionalFormatting>
  <pageMargins left="0.59055118110236227" right="0.19685039370078741" top="0.70866141732283472" bottom="0.39370078740157483" header="0.31496062992125984" footer="0"/>
  <pageSetup paperSize="9" orientation="portrait" r:id="rId1"/>
  <headerFooter differentFirst="1" alignWithMargins="0">
    <oddHeader>&amp;C&amp;P</oddHeader>
  </headerFooter>
  <rowBreaks count="1" manualBreakCount="1"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2019</vt:lpstr>
      <vt:lpstr>'2019'!Print_Titles</vt:lpstr>
    </vt:vector>
  </TitlesOfParts>
  <Company>Eksitonas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Aidas</dc:creator>
  <cp:lastModifiedBy>daiva</cp:lastModifiedBy>
  <cp:lastPrinted>2019-09-18T11:10:57Z</cp:lastPrinted>
  <dcterms:created xsi:type="dcterms:W3CDTF">2008-12-14T21:40:51Z</dcterms:created>
  <dcterms:modified xsi:type="dcterms:W3CDTF">2019-09-18T11:13:08Z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bbisDVSAttachmentId">
    <vt:lpwstr>69ff695b-c0b3-4568-ba45-223bf3942f12</vt:lpwstr>
  </property>
</Properties>
</file>