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7515" windowHeight="5130" firstSheet="4" activeTab="7"/>
  </bookViews>
  <sheets>
    <sheet name="1 pr.pajamos" sheetId="22" r:id="rId1"/>
    <sheet name="2 pr.deleg." sheetId="21" r:id="rId2"/>
    <sheet name="4 pr. mok. krep. " sheetId="19" r:id="rId3"/>
    <sheet name="5 pr.įst. pajamos" sheetId="18" r:id="rId4"/>
    <sheet name="6 pr. bendrosios dot.komp. " sheetId="25" r:id="rId5"/>
    <sheet name="7 pr. savivaldybės" sheetId="17" r:id="rId6"/>
    <sheet name="8 pr. asignav. valdytojus" sheetId="6" r:id="rId7"/>
    <sheet name="9 pr. bendros išlaidos" sheetId="15" r:id="rId8"/>
  </sheets>
  <calcPr calcId="125725"/>
</workbook>
</file>

<file path=xl/calcChain.xml><?xml version="1.0" encoding="utf-8"?>
<calcChain xmlns="http://schemas.openxmlformats.org/spreadsheetml/2006/main">
  <c r="D42" i="15"/>
  <c r="D36"/>
  <c r="C89" i="6"/>
  <c r="C49"/>
  <c r="E90" i="17"/>
  <c r="E96"/>
  <c r="C55" i="6"/>
  <c r="C54"/>
  <c r="D54"/>
  <c r="E84" i="17"/>
  <c r="E83"/>
  <c r="C77" i="6"/>
  <c r="D77"/>
  <c r="C41"/>
  <c r="C39"/>
  <c r="E78" i="17"/>
  <c r="F78"/>
  <c r="F74"/>
  <c r="E69"/>
  <c r="E67"/>
  <c r="C49" i="22"/>
  <c r="C46"/>
  <c r="C45"/>
  <c r="C44"/>
  <c r="C43"/>
  <c r="C38"/>
  <c r="C35"/>
  <c r="C32"/>
  <c r="C29"/>
  <c r="C31"/>
  <c r="C30"/>
  <c r="C25"/>
  <c r="C20"/>
  <c r="C19"/>
  <c r="C15"/>
  <c r="E39" i="15"/>
  <c r="D20"/>
  <c r="G19"/>
  <c r="F19"/>
  <c r="C69" i="6"/>
  <c r="F100"/>
  <c r="C100"/>
  <c r="C93"/>
  <c r="F96"/>
  <c r="C71"/>
  <c r="C68"/>
  <c r="C76"/>
  <c r="C73"/>
  <c r="C72"/>
  <c r="C74"/>
  <c r="C97"/>
  <c r="C94"/>
  <c r="C87"/>
  <c r="E56"/>
  <c r="C56"/>
  <c r="C57"/>
  <c r="C85"/>
  <c r="E50"/>
  <c r="C50"/>
  <c r="D50"/>
  <c r="C52"/>
  <c r="F46"/>
  <c r="C46"/>
  <c r="C45"/>
  <c r="C44"/>
  <c r="C43"/>
  <c r="E19"/>
  <c r="C40"/>
  <c r="C38"/>
  <c r="C35"/>
  <c r="E33"/>
  <c r="C33"/>
  <c r="C36"/>
  <c r="E32"/>
  <c r="C32"/>
  <c r="F31"/>
  <c r="E31"/>
  <c r="C31"/>
  <c r="E30"/>
  <c r="C30"/>
  <c r="E29"/>
  <c r="C29"/>
  <c r="E28"/>
  <c r="C28"/>
  <c r="E27"/>
  <c r="C27"/>
  <c r="E26"/>
  <c r="C26"/>
  <c r="E25"/>
  <c r="C25"/>
  <c r="E24"/>
  <c r="C24"/>
  <c r="E22"/>
  <c r="C22"/>
  <c r="F23"/>
  <c r="E23"/>
  <c r="C23"/>
  <c r="E21"/>
  <c r="C21"/>
  <c r="E20"/>
  <c r="C20"/>
  <c r="C19"/>
  <c r="E18"/>
  <c r="C18"/>
  <c r="E100" i="17"/>
  <c r="E109"/>
  <c r="G51" i="21"/>
  <c r="H51"/>
  <c r="G52"/>
  <c r="H52"/>
  <c r="F53"/>
  <c r="H89"/>
  <c r="E55" i="17"/>
  <c r="H109"/>
  <c r="F109"/>
  <c r="F108"/>
  <c r="E104"/>
  <c r="H102"/>
  <c r="E107"/>
  <c r="E103"/>
  <c r="F22" i="25"/>
  <c r="G22"/>
  <c r="G21"/>
  <c r="G37"/>
  <c r="H22"/>
  <c r="E22"/>
  <c r="E21"/>
  <c r="E37"/>
  <c r="E31"/>
  <c r="E32"/>
  <c r="F31"/>
  <c r="F32"/>
  <c r="F33"/>
  <c r="F25"/>
  <c r="F26"/>
  <c r="F27"/>
  <c r="F28"/>
  <c r="F29"/>
  <c r="F21"/>
  <c r="F37"/>
  <c r="F24"/>
  <c r="E23"/>
  <c r="G23" i="19"/>
  <c r="E47" i="21"/>
  <c r="E46"/>
  <c r="F49"/>
  <c r="E49"/>
  <c r="E48"/>
  <c r="F69"/>
  <c r="F38"/>
  <c r="F51" i="18"/>
  <c r="F22"/>
  <c r="E22"/>
  <c r="D19"/>
  <c r="E42"/>
  <c r="F49"/>
  <c r="E48"/>
  <c r="H47"/>
  <c r="G47"/>
  <c r="E45"/>
  <c r="E44"/>
  <c r="E40"/>
  <c r="D40"/>
  <c r="I39"/>
  <c r="E34"/>
  <c r="I32"/>
  <c r="D32"/>
  <c r="E35"/>
  <c r="D35"/>
  <c r="E36"/>
  <c r="F31"/>
  <c r="F30"/>
  <c r="D30"/>
  <c r="D29"/>
  <c r="D27"/>
  <c r="F26"/>
  <c r="D26"/>
  <c r="F24"/>
  <c r="D24"/>
  <c r="E21"/>
  <c r="F20"/>
  <c r="D20"/>
  <c r="E18"/>
  <c r="D18"/>
  <c r="E33" i="21"/>
  <c r="E31"/>
  <c r="E30"/>
  <c r="E29"/>
  <c r="E28"/>
  <c r="E27"/>
  <c r="E26"/>
  <c r="E25"/>
  <c r="E23"/>
  <c r="E21"/>
  <c r="E20"/>
  <c r="E46" i="19"/>
  <c r="G31"/>
  <c r="E31"/>
  <c r="H30"/>
  <c r="G30"/>
  <c r="E30"/>
  <c r="E29"/>
  <c r="G29"/>
  <c r="G28"/>
  <c r="E28"/>
  <c r="E27"/>
  <c r="G27"/>
  <c r="G26"/>
  <c r="E26"/>
  <c r="G25"/>
  <c r="E25"/>
  <c r="G24"/>
  <c r="E24"/>
  <c r="E23"/>
  <c r="G22"/>
  <c r="E22"/>
  <c r="E21"/>
  <c r="G21"/>
  <c r="G20"/>
  <c r="E20"/>
  <c r="G19"/>
  <c r="E19"/>
  <c r="G18"/>
  <c r="E18"/>
  <c r="G17"/>
  <c r="E17"/>
  <c r="C65" i="6"/>
  <c r="E58" i="17"/>
  <c r="E53"/>
  <c r="D19" i="15"/>
  <c r="C99" i="6"/>
  <c r="C98"/>
  <c r="F106" i="17"/>
  <c r="E105"/>
  <c r="E36"/>
  <c r="F36"/>
  <c r="C62" i="6"/>
  <c r="C63"/>
  <c r="E44" i="17"/>
  <c r="E45"/>
  <c r="E100" i="6"/>
  <c r="G32" i="15"/>
  <c r="C34" i="6"/>
  <c r="E35" i="17"/>
  <c r="E19"/>
  <c r="F42" i="6"/>
  <c r="H70" i="17"/>
  <c r="C51" i="6"/>
  <c r="E23" i="15"/>
  <c r="C58" i="6"/>
  <c r="E23" i="17"/>
  <c r="E21"/>
  <c r="E20"/>
  <c r="F17" i="25"/>
  <c r="G17"/>
  <c r="H17"/>
  <c r="F19"/>
  <c r="F20"/>
  <c r="F18"/>
  <c r="E17"/>
  <c r="C67" i="6"/>
  <c r="D100"/>
  <c r="F88"/>
  <c r="F81"/>
  <c r="C81"/>
  <c r="F93"/>
  <c r="E52"/>
  <c r="E51"/>
  <c r="H21" i="25"/>
  <c r="H37"/>
  <c r="F30"/>
  <c r="H77" i="17"/>
  <c r="F77"/>
  <c r="H94"/>
  <c r="E94"/>
  <c r="E77"/>
  <c r="H107"/>
  <c r="F107"/>
  <c r="G36" i="25"/>
  <c r="F23"/>
  <c r="E36"/>
  <c r="E35"/>
  <c r="E34"/>
  <c r="F37" i="21"/>
  <c r="F36"/>
  <c r="E37"/>
  <c r="F40"/>
  <c r="E40"/>
  <c r="E44"/>
  <c r="E45"/>
  <c r="F47"/>
  <c r="G16" i="19"/>
  <c r="F20"/>
  <c r="E46" i="6"/>
  <c r="D46"/>
  <c r="F42" i="21"/>
  <c r="E42"/>
  <c r="F69" i="17"/>
  <c r="E93" i="6"/>
  <c r="E55"/>
  <c r="D46" i="15"/>
  <c r="E38"/>
  <c r="D34"/>
  <c r="F34"/>
  <c r="F27"/>
  <c r="D27"/>
  <c r="F21"/>
  <c r="D21"/>
  <c r="G71" i="17"/>
  <c r="E71"/>
  <c r="F71"/>
  <c r="G84"/>
  <c r="G91"/>
  <c r="E91"/>
  <c r="G67"/>
  <c r="G68"/>
  <c r="E68"/>
  <c r="G73"/>
  <c r="E73"/>
  <c r="G72"/>
  <c r="E72"/>
  <c r="G70"/>
  <c r="E70"/>
  <c r="G69"/>
  <c r="G51"/>
  <c r="E51"/>
  <c r="G48"/>
  <c r="E48"/>
  <c r="G37"/>
  <c r="E37"/>
  <c r="G39"/>
  <c r="E39"/>
  <c r="G38"/>
  <c r="E38"/>
  <c r="G36"/>
  <c r="G35"/>
  <c r="G34"/>
  <c r="G18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F25"/>
  <c r="G24"/>
  <c r="E24"/>
  <c r="G23"/>
  <c r="G22"/>
  <c r="E22"/>
  <c r="G21"/>
  <c r="G20"/>
  <c r="G19"/>
  <c r="E49" i="15"/>
  <c r="E21"/>
  <c r="E48" i="6"/>
  <c r="C48"/>
  <c r="C75"/>
  <c r="D19"/>
  <c r="E63" i="17"/>
  <c r="E62"/>
  <c r="F62"/>
  <c r="E61"/>
  <c r="F61"/>
  <c r="E88"/>
  <c r="E64"/>
  <c r="G35" i="25"/>
  <c r="G34"/>
  <c r="H35"/>
  <c r="H34"/>
  <c r="F36"/>
  <c r="F35"/>
  <c r="F34"/>
  <c r="F20" i="6"/>
  <c r="F66" i="21"/>
  <c r="E66"/>
  <c r="E45" i="6"/>
  <c r="E44"/>
  <c r="E43"/>
  <c r="E42"/>
  <c r="E41"/>
  <c r="E40"/>
  <c r="E39"/>
  <c r="E38"/>
  <c r="E37"/>
  <c r="E36"/>
  <c r="E35"/>
  <c r="E34"/>
  <c r="E53"/>
  <c r="C42"/>
  <c r="D39"/>
  <c r="C37"/>
  <c r="D28"/>
  <c r="D27"/>
  <c r="F23" i="17"/>
  <c r="E44" i="19"/>
  <c r="E43"/>
  <c r="E42"/>
  <c r="F17"/>
  <c r="F53" i="6"/>
  <c r="F102"/>
  <c r="F104"/>
  <c r="D101"/>
  <c r="D24"/>
  <c r="F90" i="17"/>
  <c r="E52" i="15"/>
  <c r="E50"/>
  <c r="E48"/>
  <c r="G47"/>
  <c r="F47"/>
  <c r="D47"/>
  <c r="G46"/>
  <c r="E46"/>
  <c r="E45"/>
  <c r="G43"/>
  <c r="F43"/>
  <c r="E42"/>
  <c r="E41"/>
  <c r="G41"/>
  <c r="F41"/>
  <c r="E40"/>
  <c r="F35"/>
  <c r="E37"/>
  <c r="G36"/>
  <c r="G35"/>
  <c r="E36"/>
  <c r="E35"/>
  <c r="E51"/>
  <c r="E53"/>
  <c r="D35"/>
  <c r="E34"/>
  <c r="E33"/>
  <c r="E32"/>
  <c r="E31"/>
  <c r="G31"/>
  <c r="F31"/>
  <c r="D31"/>
  <c r="E30"/>
  <c r="E29"/>
  <c r="E28"/>
  <c r="E27"/>
  <c r="G25"/>
  <c r="E26"/>
  <c r="F25"/>
  <c r="D24"/>
  <c r="E24"/>
  <c r="E22"/>
  <c r="E20"/>
  <c r="F17"/>
  <c r="E19"/>
  <c r="E18"/>
  <c r="G17"/>
  <c r="D103" i="6"/>
  <c r="F99"/>
  <c r="D99"/>
  <c r="D98"/>
  <c r="D97"/>
  <c r="C96"/>
  <c r="D95"/>
  <c r="D94"/>
  <c r="D93"/>
  <c r="D92"/>
  <c r="D91"/>
  <c r="C90"/>
  <c r="D90"/>
  <c r="D89"/>
  <c r="C88"/>
  <c r="D88"/>
  <c r="D87"/>
  <c r="D86"/>
  <c r="D85"/>
  <c r="D84"/>
  <c r="D83"/>
  <c r="D82"/>
  <c r="D81"/>
  <c r="D80"/>
  <c r="D79"/>
  <c r="D78"/>
  <c r="D76"/>
  <c r="D75"/>
  <c r="D74"/>
  <c r="D73"/>
  <c r="D72"/>
  <c r="D71"/>
  <c r="D70"/>
  <c r="D69"/>
  <c r="D68"/>
  <c r="D67"/>
  <c r="D66"/>
  <c r="D65"/>
  <c r="D64"/>
  <c r="D63"/>
  <c r="D62"/>
  <c r="D61"/>
  <c r="D60"/>
  <c r="C59"/>
  <c r="D59"/>
  <c r="D58"/>
  <c r="D57"/>
  <c r="D56"/>
  <c r="F55"/>
  <c r="F54"/>
  <c r="D52"/>
  <c r="D51"/>
  <c r="F50"/>
  <c r="D49"/>
  <c r="D48"/>
  <c r="D47"/>
  <c r="D45"/>
  <c r="D44"/>
  <c r="D43"/>
  <c r="D42"/>
  <c r="D41"/>
  <c r="D40"/>
  <c r="D38"/>
  <c r="D37"/>
  <c r="D36"/>
  <c r="D35"/>
  <c r="D34"/>
  <c r="D33"/>
  <c r="D32"/>
  <c r="D31"/>
  <c r="D30"/>
  <c r="D29"/>
  <c r="D26"/>
  <c r="D25"/>
  <c r="D23"/>
  <c r="D22"/>
  <c r="D21"/>
  <c r="D20"/>
  <c r="F18"/>
  <c r="D18"/>
  <c r="F111" i="17"/>
  <c r="H108"/>
  <c r="G108"/>
  <c r="G110"/>
  <c r="G112"/>
  <c r="E108"/>
  <c r="F105"/>
  <c r="F104"/>
  <c r="F103"/>
  <c r="E102"/>
  <c r="F102"/>
  <c r="F101"/>
  <c r="H100"/>
  <c r="H99"/>
  <c r="G100"/>
  <c r="G99"/>
  <c r="F98"/>
  <c r="F97"/>
  <c r="F96"/>
  <c r="E95"/>
  <c r="F95"/>
  <c r="F94"/>
  <c r="H93"/>
  <c r="H92"/>
  <c r="G93"/>
  <c r="E93"/>
  <c r="F93"/>
  <c r="F92"/>
  <c r="F110"/>
  <c r="F112"/>
  <c r="G92"/>
  <c r="F91"/>
  <c r="F89"/>
  <c r="F88"/>
  <c r="F87"/>
  <c r="F86"/>
  <c r="F85"/>
  <c r="H84"/>
  <c r="F84"/>
  <c r="H83"/>
  <c r="H82"/>
  <c r="H81"/>
  <c r="F83"/>
  <c r="F82"/>
  <c r="F81"/>
  <c r="G82"/>
  <c r="G81"/>
  <c r="F80"/>
  <c r="F79"/>
  <c r="F76"/>
  <c r="F75"/>
  <c r="H74"/>
  <c r="H66"/>
  <c r="G74"/>
  <c r="F73"/>
  <c r="F72"/>
  <c r="F70"/>
  <c r="F68"/>
  <c r="F67"/>
  <c r="G66"/>
  <c r="F65"/>
  <c r="F64"/>
  <c r="F63"/>
  <c r="F60"/>
  <c r="F59"/>
  <c r="F58"/>
  <c r="F57"/>
  <c r="E57"/>
  <c r="F56"/>
  <c r="F55"/>
  <c r="F54"/>
  <c r="F53"/>
  <c r="H52"/>
  <c r="G52"/>
  <c r="F51"/>
  <c r="E50"/>
  <c r="F50"/>
  <c r="E49"/>
  <c r="F49"/>
  <c r="H48"/>
  <c r="F48"/>
  <c r="H47"/>
  <c r="G47"/>
  <c r="F46"/>
  <c r="F45"/>
  <c r="F44"/>
  <c r="F43"/>
  <c r="F42"/>
  <c r="E42"/>
  <c r="F41"/>
  <c r="H40"/>
  <c r="G40"/>
  <c r="E40"/>
  <c r="F39"/>
  <c r="F38"/>
  <c r="F37"/>
  <c r="F35"/>
  <c r="F34"/>
  <c r="F33"/>
  <c r="F32"/>
  <c r="F31"/>
  <c r="F30"/>
  <c r="F29"/>
  <c r="F28"/>
  <c r="F27"/>
  <c r="F26"/>
  <c r="H24"/>
  <c r="F24"/>
  <c r="F22"/>
  <c r="F21"/>
  <c r="F20"/>
  <c r="H19"/>
  <c r="F19"/>
  <c r="H18"/>
  <c r="G36" i="18"/>
  <c r="H36"/>
  <c r="E16"/>
  <c r="F16"/>
  <c r="I16"/>
  <c r="J16"/>
  <c r="D16"/>
  <c r="F38" i="19"/>
  <c r="F39"/>
  <c r="F40"/>
  <c r="F41"/>
  <c r="F46"/>
  <c r="G67" i="21"/>
  <c r="H67"/>
  <c r="F41"/>
  <c r="G41"/>
  <c r="H41"/>
  <c r="E41"/>
  <c r="G25"/>
  <c r="E39"/>
  <c r="F34" i="19"/>
  <c r="F29"/>
  <c r="F28"/>
  <c r="F24"/>
  <c r="F21"/>
  <c r="G34" i="21"/>
  <c r="G32"/>
  <c r="F32" i="19"/>
  <c r="G20" i="18"/>
  <c r="H20"/>
  <c r="F31" i="19"/>
  <c r="F26"/>
  <c r="F23"/>
  <c r="F30"/>
  <c r="F25"/>
  <c r="F44"/>
  <c r="F22"/>
  <c r="F18"/>
  <c r="F19"/>
  <c r="F27"/>
  <c r="F33"/>
  <c r="F35"/>
  <c r="F45"/>
  <c r="G43"/>
  <c r="G42"/>
  <c r="G47"/>
  <c r="H43"/>
  <c r="H42"/>
  <c r="H47"/>
  <c r="G36" i="21"/>
  <c r="H36"/>
  <c r="E36"/>
  <c r="F43"/>
  <c r="G43"/>
  <c r="H43"/>
  <c r="F39"/>
  <c r="G39"/>
  <c r="H39"/>
  <c r="E43"/>
  <c r="F37" i="19"/>
  <c r="H19" i="21"/>
  <c r="G37" i="18"/>
  <c r="G17"/>
  <c r="H17"/>
  <c r="G18"/>
  <c r="H18"/>
  <c r="G19"/>
  <c r="H19"/>
  <c r="G21"/>
  <c r="H21"/>
  <c r="G23"/>
  <c r="H23"/>
  <c r="G24"/>
  <c r="H24"/>
  <c r="G25"/>
  <c r="H25"/>
  <c r="G26"/>
  <c r="H26"/>
  <c r="G27"/>
  <c r="G28"/>
  <c r="H28"/>
  <c r="G29"/>
  <c r="H29"/>
  <c r="G30"/>
  <c r="H30"/>
  <c r="G31"/>
  <c r="H31"/>
  <c r="G32"/>
  <c r="H32"/>
  <c r="G33"/>
  <c r="H33"/>
  <c r="G34"/>
  <c r="H34"/>
  <c r="G35"/>
  <c r="H35"/>
  <c r="H37"/>
  <c r="H27"/>
  <c r="G21" i="21"/>
  <c r="G22"/>
  <c r="G23"/>
  <c r="G24"/>
  <c r="G26"/>
  <c r="G27"/>
  <c r="G28"/>
  <c r="G29"/>
  <c r="G30"/>
  <c r="G31"/>
  <c r="G33"/>
  <c r="G20"/>
  <c r="G19"/>
  <c r="G89"/>
  <c r="F52"/>
  <c r="F51"/>
  <c r="F89"/>
  <c r="E52"/>
  <c r="E51"/>
  <c r="F87"/>
  <c r="F67"/>
  <c r="E87"/>
  <c r="E67"/>
  <c r="D38" i="18"/>
  <c r="E38"/>
  <c r="F38"/>
  <c r="J38"/>
  <c r="I38"/>
  <c r="G39"/>
  <c r="H39"/>
  <c r="G40"/>
  <c r="H40"/>
  <c r="G41"/>
  <c r="H41"/>
  <c r="G42"/>
  <c r="H42"/>
  <c r="D43"/>
  <c r="E43"/>
  <c r="F43"/>
  <c r="G44"/>
  <c r="H44"/>
  <c r="G45"/>
  <c r="H45"/>
  <c r="G46"/>
  <c r="H46"/>
  <c r="G48"/>
  <c r="H48"/>
  <c r="G49"/>
  <c r="H49"/>
  <c r="I43"/>
  <c r="J43"/>
  <c r="D50"/>
  <c r="E50"/>
  <c r="F50"/>
  <c r="G51"/>
  <c r="G50"/>
  <c r="G52"/>
  <c r="I50"/>
  <c r="J50"/>
  <c r="J52"/>
  <c r="H51"/>
  <c r="H50"/>
  <c r="H52"/>
  <c r="E19" i="21"/>
  <c r="H35"/>
  <c r="G35"/>
  <c r="G38" i="18"/>
  <c r="H38"/>
  <c r="I52"/>
  <c r="G22"/>
  <c r="H22"/>
  <c r="D52"/>
  <c r="F43" i="19"/>
  <c r="F42"/>
  <c r="F16"/>
  <c r="F40" i="17"/>
  <c r="E99"/>
  <c r="D55" i="6"/>
  <c r="D96"/>
  <c r="D41" i="15"/>
  <c r="E44"/>
  <c r="E43"/>
  <c r="E47"/>
  <c r="D17"/>
  <c r="H16" i="19"/>
  <c r="E82" i="17"/>
  <c r="E81"/>
  <c r="E92"/>
  <c r="E110"/>
  <c r="E112"/>
  <c r="D25" i="15"/>
  <c r="D43"/>
  <c r="E17"/>
  <c r="E52" i="17"/>
  <c r="E47"/>
  <c r="F52"/>
  <c r="F47"/>
  <c r="F51" i="15"/>
  <c r="F53"/>
  <c r="F35" i="21"/>
  <c r="E35"/>
  <c r="E89"/>
  <c r="F18" i="17"/>
  <c r="E18"/>
  <c r="E47" i="19"/>
  <c r="E16"/>
  <c r="F47"/>
  <c r="G43" i="18"/>
  <c r="F52"/>
  <c r="H43"/>
  <c r="E52"/>
  <c r="G16"/>
  <c r="H16"/>
  <c r="E25" i="15"/>
  <c r="D51"/>
  <c r="D53"/>
  <c r="G51"/>
  <c r="G53"/>
  <c r="E102" i="6"/>
  <c r="E104"/>
  <c r="H110" i="17"/>
  <c r="H112"/>
  <c r="F100"/>
  <c r="F99"/>
  <c r="C42" i="22"/>
  <c r="C37"/>
  <c r="C14"/>
  <c r="C52"/>
  <c r="C54"/>
  <c r="C53" i="6"/>
  <c r="C102"/>
  <c r="C104"/>
  <c r="F66" i="17"/>
  <c r="E74"/>
  <c r="E66"/>
  <c r="D53" i="6"/>
  <c r="D102"/>
  <c r="D104"/>
</calcChain>
</file>

<file path=xl/comments1.xml><?xml version="1.0" encoding="utf-8"?>
<comments xmlns="http://schemas.openxmlformats.org/spreadsheetml/2006/main">
  <authors>
    <author>-</author>
  </authors>
  <commentList>
    <comment ref="A47" authorId="0">
      <text>
        <r>
          <rPr>
            <b/>
            <sz val="8"/>
            <color indexed="81"/>
            <rFont val="Tahoma"/>
            <family val="2"/>
            <charset val="186"/>
          </rPr>
          <t>-: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<sst xmlns="http://schemas.openxmlformats.org/spreadsheetml/2006/main" count="1352" uniqueCount="474">
  <si>
    <t>Eil.Nr.</t>
  </si>
  <si>
    <t>Programos Nr.</t>
  </si>
  <si>
    <t>Funkcinis kodas</t>
  </si>
  <si>
    <t>Iš viso</t>
  </si>
  <si>
    <t>Iš jų:</t>
  </si>
  <si>
    <t>2</t>
  </si>
  <si>
    <t>4</t>
  </si>
  <si>
    <t>Prienų rajono savivaldybės tarybos</t>
  </si>
  <si>
    <t>darbo užmokesčiui</t>
  </si>
  <si>
    <t>02</t>
  </si>
  <si>
    <t>01</t>
  </si>
  <si>
    <t>Ugdymo kokybės ir mokymosi aplinkos užtikrinimo programa</t>
  </si>
  <si>
    <t>Prienų ,,Žiburio“ gimnazija</t>
  </si>
  <si>
    <t>Prienų r. sav. Balbieriškio pagrindinė mokykla</t>
  </si>
  <si>
    <t>Prienų r. Išlaužo pagrindinė mokykla</t>
  </si>
  <si>
    <t>Prienų lopšelis-darželis ,,Gintarėlis“</t>
  </si>
  <si>
    <t>Prienų lopšelis-darželis ,,Pasaka“</t>
  </si>
  <si>
    <t>Socialinės paramos ir sveikatos apsaugos paslaugų kokybės gerinimo programa</t>
  </si>
  <si>
    <t>Prienų rajono savivaldybės socialinių paslaugų centras</t>
  </si>
  <si>
    <t>Prienų rajono savivaldybės administracija</t>
  </si>
  <si>
    <t>04</t>
  </si>
  <si>
    <t>Savivaldybės pagrindinių funkcijų vykdymo ir valdymo tobulinimo programa</t>
  </si>
  <si>
    <t>Prienų rajono priešgaisrinė tarnyba</t>
  </si>
  <si>
    <t>05</t>
  </si>
  <si>
    <t>02.01</t>
  </si>
  <si>
    <t>02.02</t>
  </si>
  <si>
    <t>02.03</t>
  </si>
  <si>
    <t>04.01</t>
  </si>
  <si>
    <t>04.02</t>
  </si>
  <si>
    <t>05.01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</si>
  <si>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</si>
  <si>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</si>
  <si>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</si>
  <si>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</si>
  <si>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</si>
  <si>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</si>
  <si>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</si>
  <si>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</si>
  <si>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</si>
  <si>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</si>
  <si>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</si>
  <si>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01.12</t>
  </si>
  <si>
    <t>01.13</t>
  </si>
  <si>
    <t>01.14</t>
  </si>
  <si>
    <t>01.15</t>
  </si>
  <si>
    <t>01.16</t>
  </si>
  <si>
    <t>01.17</t>
  </si>
  <si>
    <t>01.18</t>
  </si>
  <si>
    <t>01.19</t>
  </si>
  <si>
    <t>01.20</t>
  </si>
  <si>
    <t>______________________</t>
  </si>
  <si>
    <t>Programa / Asignavimų valdytojas</t>
  </si>
  <si>
    <t>ilgalaikiam turtui</t>
  </si>
  <si>
    <t>01.21</t>
  </si>
  <si>
    <t>Prienų meno mokykla</t>
  </si>
  <si>
    <t>Prienų švietimo centras</t>
  </si>
  <si>
    <t>01.22</t>
  </si>
  <si>
    <t>01.23</t>
  </si>
  <si>
    <t>01.24</t>
  </si>
  <si>
    <t>01.25</t>
  </si>
  <si>
    <t>03</t>
  </si>
  <si>
    <t>Prienų krašto muziejus</t>
  </si>
  <si>
    <t>Jiezno kultūros ir laisvalaikio centras</t>
  </si>
  <si>
    <t>Veiverių kultūros ir laisvalaikio centras</t>
  </si>
  <si>
    <t>03.01</t>
  </si>
  <si>
    <t>03.02</t>
  </si>
  <si>
    <t>03.03</t>
  </si>
  <si>
    <t>03.04</t>
  </si>
  <si>
    <t>03.05</t>
  </si>
  <si>
    <t>03.06</t>
  </si>
  <si>
    <t>03.07</t>
  </si>
  <si>
    <t>Savivaldybės biudžeto asignavimai</t>
  </si>
  <si>
    <t>Prienų r. sav. kūno kultūros ir sporto centras</t>
  </si>
  <si>
    <t>04.03</t>
  </si>
  <si>
    <t>04.04</t>
  </si>
  <si>
    <t>Prienų rajono savivaldybės administracija:</t>
  </si>
  <si>
    <t xml:space="preserve">09 </t>
  </si>
  <si>
    <t>09</t>
  </si>
  <si>
    <t>10</t>
  </si>
  <si>
    <t>03.08</t>
  </si>
  <si>
    <t>Prienų kultūros ir laisvalaikio centras</t>
  </si>
  <si>
    <t>08</t>
  </si>
  <si>
    <t>06</t>
  </si>
  <si>
    <t>07</t>
  </si>
  <si>
    <t>Savivaldybės administracija</t>
  </si>
  <si>
    <t>Investicijų programa</t>
  </si>
  <si>
    <t>07.01</t>
  </si>
  <si>
    <t>06.01</t>
  </si>
  <si>
    <t>Jiezno vaikų globos namai</t>
  </si>
  <si>
    <t>Prienų globos namai</t>
  </si>
  <si>
    <t>Valstybinėms (perduotoms savivaldybėms) funkcijoms</t>
  </si>
  <si>
    <t>maitinimui</t>
  </si>
  <si>
    <t>10.4.1.40.</t>
  </si>
  <si>
    <t>10.01.02.02</t>
  </si>
  <si>
    <t>Darbas su rizikos šeimomis</t>
  </si>
  <si>
    <t>10.04.01.01</t>
  </si>
  <si>
    <t>10.01.02.02.</t>
  </si>
  <si>
    <t>Mirties pašalpos</t>
  </si>
  <si>
    <t>10.03.01.01.</t>
  </si>
  <si>
    <t>Socialinė parama mokiniams</t>
  </si>
  <si>
    <t>10.04.01.40.</t>
  </si>
  <si>
    <t>10.07.01.01.</t>
  </si>
  <si>
    <t xml:space="preserve">Mokinių socialinės paramos administravimas </t>
  </si>
  <si>
    <t>Archyvinių dokumentų tvarkymas</t>
  </si>
  <si>
    <t>01.03.03.02.</t>
  </si>
  <si>
    <t>01.06.01.05.</t>
  </si>
  <si>
    <t>Civilinės saugos organizavimas</t>
  </si>
  <si>
    <t>02.02.01.01.</t>
  </si>
  <si>
    <t>Valstybinės kalbos vartojimo ir taisyklingumo kontrolė</t>
  </si>
  <si>
    <t>01.06.01.03.</t>
  </si>
  <si>
    <t>02.01.01.05.</t>
  </si>
  <si>
    <t>Mobilizacijos administravimas</t>
  </si>
  <si>
    <t>Pirminė teisinė pagalba</t>
  </si>
  <si>
    <t>01.06.01.12.</t>
  </si>
  <si>
    <t>Duomenų teikimas Valstybės suteiktos pagalbos registrui</t>
  </si>
  <si>
    <t>Gyventojų registro tvarkymas ir duomenų valstybės registrui teikimas</t>
  </si>
  <si>
    <t>Gyvenamosios vietos deklaravimas</t>
  </si>
  <si>
    <t>01.06.01.11.</t>
  </si>
  <si>
    <t>Žemės ūkio funkcijoms vykdyti</t>
  </si>
  <si>
    <t>Melioracijai ir dirvoms kalkinti</t>
  </si>
  <si>
    <t>04.02.01.01.</t>
  </si>
  <si>
    <t>03.02.01.01.</t>
  </si>
  <si>
    <t>Darbo rinkos politikos rengimas ir įgyvendinimas</t>
  </si>
  <si>
    <t>Eil. Nr.</t>
  </si>
  <si>
    <t>1.</t>
  </si>
  <si>
    <t xml:space="preserve">Prienų „Žiburio“ gimnazija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</si>
  <si>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</si>
  <si>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</si>
  <si>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</si>
  <si>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</si>
  <si>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</si>
  <si>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</si>
  <si>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</si>
  <si>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</si>
  <si>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</si>
  <si>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</si>
  <si>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</si>
  <si>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</si>
  <si>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</si>
  <si>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</si>
  <si>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</si>
  <si>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</si>
  <si>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</si>
  <si>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</si>
  <si>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Prienų lopšelis-darželis „Gintarėlis“</t>
  </si>
  <si>
    <t>20.</t>
  </si>
  <si>
    <t>Prienų lopšelis-darželis „Pasaka“</t>
  </si>
  <si>
    <t>21.</t>
  </si>
  <si>
    <t>Prienų lopšelis-darželis „Saulutė“</t>
  </si>
  <si>
    <t>22.</t>
  </si>
  <si>
    <t>Prienų pedagoginė psichologinė   tarnyba</t>
  </si>
  <si>
    <t>23.</t>
  </si>
  <si>
    <t>24.</t>
  </si>
  <si>
    <t>25.</t>
  </si>
  <si>
    <t>26.</t>
  </si>
  <si>
    <t>27.</t>
  </si>
  <si>
    <t>Savivaldybės administracija:</t>
  </si>
  <si>
    <t>iš jų:             brandos egzaminai</t>
  </si>
  <si>
    <t>Vadybinės ir pedagoginės veiklos kokybės tobulinimo programa:</t>
  </si>
  <si>
    <t>Aplinkos apsaugos, verslo rėmimo ir kaimo plėtros programa</t>
  </si>
  <si>
    <t>Programa / Finansavimo šaltiniai</t>
  </si>
  <si>
    <t>Biudžeto lėšos</t>
  </si>
  <si>
    <t>Mokinio krepšeliui finansuoti</t>
  </si>
  <si>
    <t>Valstybinėms funkcijoms atlikti</t>
  </si>
  <si>
    <t>Biudžetinių įstaigų pajamos</t>
  </si>
  <si>
    <t>Asignavimų valdytojas</t>
  </si>
  <si>
    <t>savivaldos institucijos</t>
  </si>
  <si>
    <t>savivaldybės administracija</t>
  </si>
  <si>
    <t>biudžetinės įstaigos pajamos</t>
  </si>
  <si>
    <t>investicijų programa</t>
  </si>
  <si>
    <t>Prienų r. sav. socialinių paslaugų centras</t>
  </si>
  <si>
    <t>Prienų lopšelis-darželis ,,Saulutė“</t>
  </si>
  <si>
    <t>jaunimo veiklos aktyvinimas</t>
  </si>
  <si>
    <t>kultūros paveldo objektų tvarkymas</t>
  </si>
  <si>
    <t>nekilnojamojo turto įteisinimas</t>
  </si>
  <si>
    <t>socialinio būsto atnaujinimas ir plėtra</t>
  </si>
  <si>
    <t>išlaidoms</t>
  </si>
  <si>
    <t>iš viso</t>
  </si>
  <si>
    <t>Asignavimai</t>
  </si>
  <si>
    <t>teritorijų planavimas</t>
  </si>
  <si>
    <t>smulkaus ir vidutinio verslo subjektų rėmimas</t>
  </si>
  <si>
    <t>viešosios tvarkos užtikrinimas ir prevencija</t>
  </si>
  <si>
    <t>mero fondas</t>
  </si>
  <si>
    <t xml:space="preserve">mero fondas </t>
  </si>
  <si>
    <t>__________________</t>
  </si>
  <si>
    <t>Įmokos už išlaikymą švietimo, socialinės apsaugos ir kitose įstaigose</t>
  </si>
  <si>
    <t>Pajamos už patalpų nuomą</t>
  </si>
  <si>
    <t xml:space="preserve">02.03 </t>
  </si>
  <si>
    <t>02.04</t>
  </si>
  <si>
    <t>Balbieriškio kultūros ir laisvalaikio centras</t>
  </si>
  <si>
    <t>Iš viso asignavimų</t>
  </si>
  <si>
    <t xml:space="preserve">                                                                    ___________________________________________</t>
  </si>
  <si>
    <t>8 priedas</t>
  </si>
  <si>
    <t xml:space="preserve">5 priedas </t>
  </si>
  <si>
    <t>4 priedas</t>
  </si>
  <si>
    <t>9 priedas</t>
  </si>
  <si>
    <t>7 priedas</t>
  </si>
  <si>
    <t>Progra-mos Nr.</t>
  </si>
  <si>
    <t>Pajamos už atsitik-   tines paslaugas</t>
  </si>
  <si>
    <t>turtui įsigyti</t>
  </si>
  <si>
    <t>iš jų darbo užmo-  kesčiui</t>
  </si>
  <si>
    <t>I.</t>
  </si>
  <si>
    <t>MOKESČIAI:</t>
  </si>
  <si>
    <t>Pajamų ir pelno mokesčiai iš viso:</t>
  </si>
  <si>
    <t>1.1.</t>
  </si>
  <si>
    <t>gyventojų pajamų mokestis (gautas iš VMI)</t>
  </si>
  <si>
    <t>1.2.</t>
  </si>
  <si>
    <t>gyventojų pajamų mokestis savivaldybių išlaidų struktūros skirtumams išlyginti</t>
  </si>
  <si>
    <t>1.3.</t>
  </si>
  <si>
    <t>gyventojų pajamų mokestis savivaldybių pajamoms iš gyventojų pajamų mokesčio išlyginti</t>
  </si>
  <si>
    <t>2.1.</t>
  </si>
  <si>
    <t>žemės mokestis, iš jų:</t>
  </si>
  <si>
    <t>2.2.</t>
  </si>
  <si>
    <t>fizinių asmenų</t>
  </si>
  <si>
    <t>2.3.</t>
  </si>
  <si>
    <t>juridinių asmenų</t>
  </si>
  <si>
    <t>paveldimo turto mokestis</t>
  </si>
  <si>
    <t>nekilnojamojo turto mokestis</t>
  </si>
  <si>
    <t>Prekių ir paslaugų mokesčiai:</t>
  </si>
  <si>
    <t>3.1.</t>
  </si>
  <si>
    <t>mokestis už aplinkos teršimą</t>
  </si>
  <si>
    <t>3.2.</t>
  </si>
  <si>
    <t>valstybės rinkliavos</t>
  </si>
  <si>
    <t>3.3.</t>
  </si>
  <si>
    <t>vietinės rinkliavos</t>
  </si>
  <si>
    <t>II.</t>
  </si>
  <si>
    <t>valstybinėms (perduotoms savivaldybėms) funkcijoms atlikti</t>
  </si>
  <si>
    <t>mokinio krepšeliui finansuoti</t>
  </si>
  <si>
    <t>kita tikslinė dotacija</t>
  </si>
  <si>
    <t>Bendrosios dotacijos kompensacija</t>
  </si>
  <si>
    <t>III.</t>
  </si>
  <si>
    <t>KITOS PAJAMOS:</t>
  </si>
  <si>
    <t>nuomos mokestis už valstybinę žemę ir valstybinius vidaus vandenų telkinius</t>
  </si>
  <si>
    <t>mokesčiai už valstybinius gamtos išteklius</t>
  </si>
  <si>
    <t>1.4.</t>
  </si>
  <si>
    <t>mokestis už medžiojamųjų gyvūnų išteklius</t>
  </si>
  <si>
    <t>Pajamos už prekes ir paslaugas:</t>
  </si>
  <si>
    <t>pajamos už patalpų nuomą</t>
  </si>
  <si>
    <t>pajamos už atsitiktines paslaugas</t>
  </si>
  <si>
    <t>įmokos už išlaikymą švietimo, socialinės apsaugos ir kitose įstaigose</t>
  </si>
  <si>
    <t>Pajamos iš baudų ir konfiskacijos:</t>
  </si>
  <si>
    <t>pajamos iš baudų ir konfiskacijos</t>
  </si>
  <si>
    <t>Kitos neišvardintos pajamos</t>
  </si>
  <si>
    <t>Ilgalaikio materialiojo turto realizavimo pajamos:</t>
  </si>
  <si>
    <t>žemės ir žemės gelmių išteklių realizavimo pajamos</t>
  </si>
  <si>
    <t>kito ilgalaikio materialiojo turto realizavimo pajamos</t>
  </si>
  <si>
    <t>IV.</t>
  </si>
  <si>
    <t>IŠ VISO PAJAMŲ</t>
  </si>
  <si>
    <t>___________________________</t>
  </si>
  <si>
    <t>Pajamų pavadinimas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</si>
  <si>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</si>
  <si>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</si>
  <si>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</si>
  <si>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</si>
  <si>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</si>
  <si>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</si>
  <si>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</si>
  <si>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</si>
  <si>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</si>
  <si>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</si>
  <si>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</si>
  <si>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</si>
  <si>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</si>
  <si>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</si>
  <si>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</si>
  <si>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</si>
  <si>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</si>
  <si>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</si>
  <si>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</si>
  <si>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</si>
  <si>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</si>
  <si>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</si>
  <si>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</si>
  <si>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</si>
  <si>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</si>
  <si>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</si>
  <si>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</si>
  <si>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</si>
  <si>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</si>
  <si>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_____________________________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</si>
  <si>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</si>
  <si>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</si>
  <si>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</si>
  <si>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</si>
  <si>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</si>
  <si>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</si>
  <si>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</si>
  <si>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</si>
  <si>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</si>
  <si>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</si>
  <si>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</si>
  <si>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</si>
  <si>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</si>
  <si>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</si>
  <si>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</si>
  <si>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</si>
  <si>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</si>
  <si>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</si>
  <si>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</si>
  <si>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77.</t>
  </si>
  <si>
    <t>2.1.1.</t>
  </si>
  <si>
    <t>2.1.2.</t>
  </si>
  <si>
    <t>Socialinių paslaugų asmenims su negalia plėtra</t>
  </si>
  <si>
    <t>Socialinių paslaugų asmenims su negalia plėtros administravimas</t>
  </si>
  <si>
    <t>Prienų r. sav. visuomenės sveikatos biuras</t>
  </si>
  <si>
    <t>Stakliškių kultūros ir laisvalaikio centras</t>
  </si>
  <si>
    <t>Prienų r. sav. kontrolės ir audito tarnyba</t>
  </si>
  <si>
    <t>Prienų r. sav. administracijos Finansų skyrius</t>
  </si>
  <si>
    <t>Viešosios infrastruktūros ir priežiūros plėtros programa</t>
  </si>
  <si>
    <r>
      <t>Turto mokesčiai</t>
    </r>
    <r>
      <rPr>
        <sz val="10"/>
        <rFont val="Times New Roman"/>
        <family val="1"/>
        <charset val="186"/>
      </rPr>
      <t>:</t>
    </r>
  </si>
  <si>
    <r>
      <t>Nuomos pajamos</t>
    </r>
    <r>
      <rPr>
        <sz val="10"/>
        <rFont val="Times New Roman"/>
        <family val="1"/>
        <charset val="186"/>
      </rPr>
      <t>:</t>
    </r>
  </si>
  <si>
    <t>Prienų r. sav. priešgaisrinė tarnyba</t>
  </si>
  <si>
    <t>04.02.01.05.</t>
  </si>
  <si>
    <t>Jaunimo teisių apsauga</t>
  </si>
  <si>
    <t>Vaikų teisių apsauga</t>
  </si>
  <si>
    <t>Civilinės būklės aktų registravimas</t>
  </si>
  <si>
    <t>Prienų Justino Marcinkevičiaus viešoji biblioteka</t>
  </si>
  <si>
    <t xml:space="preserve"> </t>
  </si>
  <si>
    <t>valstybės investicijų programoje numatytiems projektams finansuoti</t>
  </si>
  <si>
    <t>76.</t>
  </si>
  <si>
    <t>pedagoginių darbuotojų tarifinių                   atlygių koeficientų skirtumams išlyginti                          ir socialinio draudimo įmokoms</t>
  </si>
  <si>
    <t>78.</t>
  </si>
  <si>
    <t>Prienų r. Naujosios Ūtos  pagrindinė mokykla</t>
  </si>
  <si>
    <t>Prienų r. Veiverių Antano Kučingio meno mokykla</t>
  </si>
  <si>
    <t>Prienų r. Veiverių Tomo  Žilinsko gimnazija</t>
  </si>
  <si>
    <t>Prienų r. Jiezno gimnazija</t>
  </si>
  <si>
    <t>Prienų r. Veiverių Tomo Žilinsko gimnazija</t>
  </si>
  <si>
    <t>Prienų r. Naujosios Ūtos pagrindinė mokykla</t>
  </si>
  <si>
    <t>Prienų r. Pakuonio pagrindinė mokykla</t>
  </si>
  <si>
    <t>Prienų r. Skriaudžių pagrindinė mokykla</t>
  </si>
  <si>
    <t>Prienų r. Jiezno muzikos mokykla</t>
  </si>
  <si>
    <t>Prienų r. Pakuonio pagrindinė  mokykla</t>
  </si>
  <si>
    <t>Prienų r. Skriaudžių pagrindinė  mokykla</t>
  </si>
  <si>
    <t xml:space="preserve">Prienų r. Jiezno muzikos mokykla </t>
  </si>
  <si>
    <t>79.</t>
  </si>
  <si>
    <t>80.</t>
  </si>
  <si>
    <t>81.</t>
  </si>
  <si>
    <t>10.05.01.01</t>
  </si>
  <si>
    <t>10.09.01.01.</t>
  </si>
  <si>
    <t>___________________</t>
  </si>
  <si>
    <t>savivaldybės administracija (perduotos)</t>
  </si>
  <si>
    <t>Prienų r. Šilavoto pagrindinė  mokykla</t>
  </si>
  <si>
    <t>Prienų r. Balbieriškio pagrindinė mokykla</t>
  </si>
  <si>
    <t>savivaldos institucija (taryba)</t>
  </si>
  <si>
    <t>2016 m. vasario 11 d.</t>
  </si>
  <si>
    <t>sprendimu Nr. T3-20</t>
  </si>
  <si>
    <t>(Prienų rajono savivaldybės tarybos</t>
  </si>
  <si>
    <t>Nr. T3-    redakcija)</t>
  </si>
  <si>
    <t>PRIENŲ RAJONO SAVIVALDYBĖS 2016 METŲ BIUDŽETO PAJAMŲ PLANAS</t>
  </si>
  <si>
    <t>1.5.</t>
  </si>
  <si>
    <t>1.6.</t>
  </si>
  <si>
    <t>SPECIALI TIKSLINĖ DOTACIJA, IŠ JOS:</t>
  </si>
  <si>
    <t>kitos dotacijos ir lėšos iš kitų valdymo lygių</t>
  </si>
  <si>
    <t>BENDROSIO DOTACIJOS KOMPENSACIJA</t>
  </si>
  <si>
    <t>5.1.</t>
  </si>
  <si>
    <t>5.2.</t>
  </si>
  <si>
    <t>V.</t>
  </si>
  <si>
    <t>Praėjusių metų biudžeto pajamos</t>
  </si>
  <si>
    <t xml:space="preserve">PRIENŲ RAJONO SAVIVALDYBĖS 2016 METŲ BIUDŽETO LĖŠOS VALSTYBINĖMS (PERDUOTOMS                                                   SAVIVALDYBEI) FUNKCIJOMS ATLIKTI </t>
  </si>
  <si>
    <t>SAVIVALDYBĖMS) FUNKCIJOMS ATLIKTI</t>
  </si>
  <si>
    <t>Prienų r. Stakliškių gimnazija</t>
  </si>
  <si>
    <t>Prienų ,,Ąžuolo“ progimnazija</t>
  </si>
  <si>
    <t>Prienų ,,Revuonos “ pagrindinė mokykla</t>
  </si>
  <si>
    <t>Prienų r. Šilavoto pagrindinė mokykla</t>
  </si>
  <si>
    <t>Prienų rajono visuomenės sveikatos biuras</t>
  </si>
  <si>
    <t>Visuomenės sveikatos stiprinimas</t>
  </si>
  <si>
    <t>Mirties pašalpų administravimas</t>
  </si>
  <si>
    <t>Būsto nuomos ar išperkamosios būsto nuomos mokesčių dalies kompensavimas</t>
  </si>
  <si>
    <t>06.02</t>
  </si>
  <si>
    <t>06.03</t>
  </si>
  <si>
    <t>06.04</t>
  </si>
  <si>
    <t>06.05</t>
  </si>
  <si>
    <t>06.06</t>
  </si>
  <si>
    <t>06.07</t>
  </si>
  <si>
    <t>06.08</t>
  </si>
  <si>
    <t>06.09</t>
  </si>
  <si>
    <t>06.10</t>
  </si>
  <si>
    <t>06.11</t>
  </si>
  <si>
    <t>06.12</t>
  </si>
  <si>
    <t>06.13</t>
  </si>
  <si>
    <t>06.14</t>
  </si>
  <si>
    <t>06.15</t>
  </si>
  <si>
    <t>06.16</t>
  </si>
  <si>
    <t>06.17</t>
  </si>
  <si>
    <t>06.18</t>
  </si>
  <si>
    <t>06.19</t>
  </si>
  <si>
    <t>06.20</t>
  </si>
  <si>
    <t>sprendimo Nr. T3-20</t>
  </si>
  <si>
    <t>Nr. T3-   redakcija)</t>
  </si>
  <si>
    <t>(eurais)</t>
  </si>
  <si>
    <t>Kultūros, sporto, jaunimo ir bendruomenių veiklos aktyvinimo programa</t>
  </si>
  <si>
    <t>vietinės reikšmės kelių (gatvių) rekonstravimas, plėtra ir priežiūra</t>
  </si>
  <si>
    <t>PRIENŲ RAJONO SAVIVALDYBĖS 2016 METŲ MOKINIO KREPŠELIO LĖŠOS</t>
  </si>
  <si>
    <t>Prienų „Ąžuolo“ progimnazija</t>
  </si>
  <si>
    <t>Prienų „Revuonos“ pagrindinė mokykla</t>
  </si>
  <si>
    <t>26.1.</t>
  </si>
  <si>
    <t>26.2.</t>
  </si>
  <si>
    <t>26.3</t>
  </si>
  <si>
    <t>neformalusis švietimas</t>
  </si>
  <si>
    <t xml:space="preserve">PRIENŲ RAJONO SAVIVALDYBĖS 2016 METŲ BIUDŽETINIŲ ĮSTAIGŲ PAJAMOS </t>
  </si>
  <si>
    <t xml:space="preserve">6 priedas </t>
  </si>
  <si>
    <t>PRIENŲ RAJONO SAVIVALDYBĖS 2016 METŲ BENDROSIOS DOTACIJOS KOMPENSACIJA</t>
  </si>
  <si>
    <t>socialinės pašalpos</t>
  </si>
  <si>
    <t>Prienų pedagoginė psichologinė tarnyba</t>
  </si>
  <si>
    <t>vadybinės ir pedagoginės veiklos kokybės tobulinimas</t>
  </si>
  <si>
    <t>vaikų socializacija</t>
  </si>
  <si>
    <t>mokyklų aprūpinimas mokykline dokumentacija</t>
  </si>
  <si>
    <t>gabių mokinių rėmimas ir skatinimas</t>
  </si>
  <si>
    <t>studijų rėmimas</t>
  </si>
  <si>
    <t>mokinių pavėžėjimas</t>
  </si>
  <si>
    <t>nevyriausybinių organizacijų rėmimas</t>
  </si>
  <si>
    <t>suteiktų priėmimo-skubios pagalbos paslaugų dalinis finansavimas</t>
  </si>
  <si>
    <t>papildomi socialinių darbuotojų etatai</t>
  </si>
  <si>
    <t>visuomenės sveikatos rėmimas (protezavimas)</t>
  </si>
  <si>
    <t>socialinis rėmimas</t>
  </si>
  <si>
    <t>socialinis rėmimas (paštas)</t>
  </si>
  <si>
    <t>laidojimo pašalpos (sav.)</t>
  </si>
  <si>
    <t>lovų išlaikymas ligoninėse</t>
  </si>
  <si>
    <t>senelių išlaikymas globos įstaigose</t>
  </si>
  <si>
    <t>vaikų išlaikymas globos įstaigose</t>
  </si>
  <si>
    <t xml:space="preserve">kompensacijų mokėjimas </t>
  </si>
  <si>
    <t>lengvatinis neįgaliųjų vežimas</t>
  </si>
  <si>
    <t>įvaizdžio kūrimas ir valdymas</t>
  </si>
  <si>
    <t>kūno kultūros ir sporto populiarinimas, sporto ir jaunimo organizacijų, asociacijų, religinių bendruomenių ir bendrijų rėmimas</t>
  </si>
  <si>
    <t>rajono kultūros plėtra</t>
  </si>
  <si>
    <t>turizmo veiklos skatinimas</t>
  </si>
  <si>
    <t>regioninės plėtros veiklų įgyvendinimas</t>
  </si>
  <si>
    <t>nuostolių dengimas</t>
  </si>
  <si>
    <t>aplinkos apsaugos specialusis rėmimas</t>
  </si>
  <si>
    <t>komunalinių atliekų surinkimas ir tvarkymas</t>
  </si>
  <si>
    <t>kaimo plėtros rėmimo programa</t>
  </si>
  <si>
    <t>padangų utilizavimas</t>
  </si>
  <si>
    <t>82.</t>
  </si>
  <si>
    <t>83.</t>
  </si>
  <si>
    <t>84.</t>
  </si>
  <si>
    <t>85.</t>
  </si>
  <si>
    <t>86.</t>
  </si>
  <si>
    <t>savivaldybės pastatų remontas</t>
  </si>
  <si>
    <t>87.</t>
  </si>
  <si>
    <t>daugiabučių namų modernizavimas</t>
  </si>
  <si>
    <t>88.</t>
  </si>
  <si>
    <t>89.</t>
  </si>
  <si>
    <t>komunalinio ūkio objektų priežiūra ir plėtra</t>
  </si>
  <si>
    <t>90.</t>
  </si>
  <si>
    <t>91.</t>
  </si>
  <si>
    <t>92.</t>
  </si>
  <si>
    <t xml:space="preserve">Iš viso </t>
  </si>
  <si>
    <t>93.</t>
  </si>
  <si>
    <t>Iš jų: finansinių įsipareigojimų vykdymas (paskolų grąžinimas)</t>
  </si>
  <si>
    <t>94.</t>
  </si>
  <si>
    <t>PRIENŲ RAJONO SAVIVALDYBĖS 2016 METŲ BIUDŽETO IŠLAIDOS SAVARANKIŠKOSIOMS FUNKCIJOMS VYKDYTI PAGAL ASIGNAVIMŲ VALDYTOJUS</t>
  </si>
  <si>
    <t xml:space="preserve">PRIENŲ RAJONO SAVIVALDYBĖS 2016 METŲ BIUDŽETO IŠLAIDOS                                                                                        PAGAL ASIGNAVIMŲ VALDYTOJUS </t>
  </si>
  <si>
    <t>gabių mokinių skatinimas</t>
  </si>
  <si>
    <t>suteiktų priėmimo-skubiosios pagalbos paslaugų dalinis finansavimas</t>
  </si>
  <si>
    <t>nevyriausybinių organizacijų rėmimas ir būstų pritaikymas neįgaliesiems</t>
  </si>
  <si>
    <t>socialinis rėmimas (pašto išlaidos)</t>
  </si>
  <si>
    <t>kompensacijų mokėjimas</t>
  </si>
  <si>
    <t>smulkaus ir vidutinio verslo subjektų rėmimo programa</t>
  </si>
  <si>
    <t xml:space="preserve">PRIENŲ RAJONO SAVIVALDYBĖS 2016 METŲ BIUDŽETO IŠLAIDOS                                                                                                                PAGAL  PROGRAMAS IR FINANSAVIMO ŠALTINIUS </t>
  </si>
  <si>
    <t>Kitos tikslinės dotacijos</t>
  </si>
  <si>
    <t>Europos Sąjungos finansinė parama</t>
  </si>
  <si>
    <t>Kita tikslinė dotacija</t>
  </si>
  <si>
    <t>valstybinė finansinė parama užsienyje mirusiųjų (žuvusiųjų) palaikams parvežti</t>
  </si>
  <si>
    <t>2 priedas</t>
  </si>
  <si>
    <t>socialinio būsto fondo plėtra</t>
  </si>
  <si>
    <t>Nr. T 3-   redakcija)</t>
  </si>
  <si>
    <t>komisinių išlaidos paštui ir bankui</t>
  </si>
  <si>
    <t>95.</t>
  </si>
  <si>
    <t>lengvatinis invalidų vežimas</t>
  </si>
  <si>
    <t>lovų išlaikymas slaugos ligoninėse</t>
  </si>
  <si>
    <t xml:space="preserve">Pajamos </t>
  </si>
  <si>
    <t>Europos Sąjungos finansinės paramos lėšos</t>
  </si>
  <si>
    <t>2016 m. gruodžio 1 d. sprendimo</t>
  </si>
  <si>
    <t>1 priedas</t>
  </si>
</sst>
</file>

<file path=xl/styles.xml><?xml version="1.0" encoding="utf-8"?>
<styleSheet xmlns="http://schemas.openxmlformats.org/spreadsheetml/2006/main">
  <numFmts count="2">
    <numFmt numFmtId="164" formatCode="_-* #,##0.00\ &quot;Lt&quot;_-;\-* #,##0.00\ &quot;Lt&quot;_-;_-* &quot;-&quot;??\ &quot;Lt&quot;_-;_-@_-"/>
    <numFmt numFmtId="165" formatCode="0.0"/>
  </numFmts>
  <fonts count="12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9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1" fontId="3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" fontId="3" fillId="2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2" fillId="0" borderId="0" xfId="0" applyFont="1"/>
    <xf numFmtId="49" fontId="3" fillId="0" borderId="0" xfId="0" applyNumberFormat="1" applyFont="1" applyFill="1" applyAlignment="1">
      <alignment wrapText="1"/>
    </xf>
    <xf numFmtId="165" fontId="3" fillId="0" borderId="2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left" wrapText="1"/>
    </xf>
    <xf numFmtId="165" fontId="4" fillId="0" borderId="5" xfId="0" applyNumberFormat="1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/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top"/>
    </xf>
    <xf numFmtId="165" fontId="4" fillId="2" borderId="1" xfId="0" applyNumberFormat="1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left" wrapText="1"/>
    </xf>
    <xf numFmtId="0" fontId="4" fillId="0" borderId="7" xfId="0" applyFont="1" applyFill="1" applyBorder="1" applyAlignment="1">
      <alignment vertical="top"/>
    </xf>
    <xf numFmtId="0" fontId="4" fillId="0" borderId="2" xfId="0" applyFont="1" applyFill="1" applyBorder="1" applyAlignment="1"/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0" xfId="0" applyFont="1"/>
    <xf numFmtId="1" fontId="2" fillId="0" borderId="2" xfId="0" applyNumberFormat="1" applyFont="1" applyFill="1" applyBorder="1" applyAlignment="1">
      <alignment horizontal="right" vertical="top"/>
    </xf>
    <xf numFmtId="165" fontId="4" fillId="0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>
      <alignment horizontal="right" vertical="top"/>
    </xf>
    <xf numFmtId="0" fontId="8" fillId="0" borderId="0" xfId="0" applyFont="1"/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top" wrapText="1"/>
    </xf>
    <xf numFmtId="1" fontId="4" fillId="0" borderId="6" xfId="0" applyNumberFormat="1" applyFont="1" applyFill="1" applyBorder="1" applyAlignment="1">
      <alignment horizontal="right" vertical="top"/>
    </xf>
    <xf numFmtId="1" fontId="2" fillId="2" borderId="6" xfId="0" applyNumberFormat="1" applyFont="1" applyFill="1" applyBorder="1" applyAlignment="1">
      <alignment horizontal="right" vertical="top"/>
    </xf>
    <xf numFmtId="165" fontId="4" fillId="0" borderId="2" xfId="0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1" fontId="2" fillId="0" borderId="2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right"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/>
    <xf numFmtId="49" fontId="3" fillId="0" borderId="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2" fillId="0" borderId="4" xfId="0" applyFont="1" applyFill="1" applyBorder="1" applyAlignment="1"/>
    <xf numFmtId="0" fontId="0" fillId="0" borderId="0" xfId="0" applyBorder="1"/>
    <xf numFmtId="0" fontId="3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2" xfId="0" applyBorder="1"/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/>
    <xf numFmtId="0" fontId="4" fillId="0" borderId="2" xfId="0" applyFont="1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righ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vertical="top"/>
    </xf>
    <xf numFmtId="1" fontId="3" fillId="2" borderId="2" xfId="0" applyNumberFormat="1" applyFont="1" applyFill="1" applyBorder="1" applyAlignment="1">
      <alignment horizontal="right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left" wrapText="1"/>
    </xf>
    <xf numFmtId="0" fontId="4" fillId="2" borderId="7" xfId="0" applyFont="1" applyFill="1" applyBorder="1" applyAlignment="1">
      <alignment vertical="top"/>
    </xf>
    <xf numFmtId="0" fontId="2" fillId="0" borderId="2" xfId="0" applyFont="1" applyBorder="1"/>
    <xf numFmtId="0" fontId="3" fillId="0" borderId="2" xfId="0" applyFont="1" applyBorder="1"/>
    <xf numFmtId="0" fontId="2" fillId="0" borderId="0" xfId="0" applyFont="1" applyFill="1" applyBorder="1" applyAlignment="1">
      <alignment horizontal="left" vertical="center" wrapText="1"/>
    </xf>
    <xf numFmtId="164" fontId="0" fillId="0" borderId="0" xfId="1" applyFont="1"/>
    <xf numFmtId="49" fontId="2" fillId="0" borderId="8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6" xfId="0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2" fillId="0" borderId="0" xfId="0" applyFont="1" applyAlignment="1">
      <alignment horizontal="right"/>
    </xf>
    <xf numFmtId="49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1" fontId="2" fillId="0" borderId="6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/>
    <xf numFmtId="1" fontId="2" fillId="2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vertical="top" wrapText="1"/>
    </xf>
    <xf numFmtId="1" fontId="3" fillId="0" borderId="2" xfId="0" applyNumberFormat="1" applyFont="1" applyBorder="1"/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right" vertical="center" wrapText="1"/>
    </xf>
    <xf numFmtId="1" fontId="2" fillId="0" borderId="6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top"/>
    </xf>
    <xf numFmtId="165" fontId="2" fillId="0" borderId="3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top"/>
    </xf>
    <xf numFmtId="0" fontId="4" fillId="0" borderId="2" xfId="0" applyFont="1" applyBorder="1"/>
    <xf numFmtId="0" fontId="3" fillId="0" borderId="3" xfId="0" applyFont="1" applyBorder="1" applyAlignment="1">
      <alignment vertical="top" wrapText="1"/>
    </xf>
    <xf numFmtId="0" fontId="2" fillId="0" borderId="0" xfId="0" applyFont="1" applyAlignment="1"/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Border="1"/>
    <xf numFmtId="49" fontId="3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8"/>
  <sheetViews>
    <sheetView zoomScale="135" zoomScaleNormal="135" workbookViewId="0">
      <selection activeCell="B5" sqref="B5"/>
    </sheetView>
  </sheetViews>
  <sheetFormatPr defaultRowHeight="12.75"/>
  <cols>
    <col min="1" max="1" width="7.7109375" customWidth="1"/>
    <col min="2" max="2" width="53.7109375" customWidth="1"/>
    <col min="3" max="3" width="33.85546875" customWidth="1"/>
  </cols>
  <sheetData>
    <row r="1" spans="1:6" ht="15" customHeight="1">
      <c r="A1" s="48"/>
      <c r="B1" s="48"/>
      <c r="C1" s="36" t="s">
        <v>7</v>
      </c>
      <c r="D1" s="36"/>
      <c r="E1" s="36"/>
      <c r="F1" s="36"/>
    </row>
    <row r="2" spans="1:6" ht="15" customHeight="1">
      <c r="A2" s="48"/>
      <c r="B2" s="48"/>
      <c r="C2" s="36" t="s">
        <v>344</v>
      </c>
      <c r="D2" s="36"/>
      <c r="E2" s="36"/>
      <c r="F2" s="36"/>
    </row>
    <row r="3" spans="1:6" ht="15" customHeight="1">
      <c r="A3" s="48"/>
      <c r="B3" s="48"/>
      <c r="C3" s="36" t="s">
        <v>387</v>
      </c>
      <c r="D3" s="36"/>
      <c r="E3" s="36"/>
      <c r="F3" s="36"/>
    </row>
    <row r="4" spans="1:6" ht="15" customHeight="1">
      <c r="A4" s="48"/>
      <c r="B4" s="48"/>
      <c r="C4" s="17" t="s">
        <v>473</v>
      </c>
      <c r="D4" s="17"/>
      <c r="E4" s="17"/>
      <c r="F4" s="17"/>
    </row>
    <row r="5" spans="1:6" ht="15" customHeight="1">
      <c r="A5" s="48"/>
      <c r="B5" s="48"/>
      <c r="C5" s="36" t="s">
        <v>346</v>
      </c>
      <c r="D5" s="36"/>
      <c r="E5" s="36"/>
      <c r="F5" s="36"/>
    </row>
    <row r="6" spans="1:6" ht="15" customHeight="1">
      <c r="A6" s="48"/>
      <c r="B6" s="48"/>
      <c r="C6" s="36" t="s">
        <v>472</v>
      </c>
      <c r="D6" s="36"/>
      <c r="E6" s="36"/>
      <c r="F6" s="36"/>
    </row>
    <row r="7" spans="1:6" ht="15" customHeight="1">
      <c r="A7" s="48"/>
      <c r="B7" s="48"/>
      <c r="C7" s="228" t="s">
        <v>347</v>
      </c>
      <c r="D7" s="228"/>
      <c r="E7" s="228"/>
      <c r="F7" s="228"/>
    </row>
    <row r="8" spans="1:6" ht="15" customHeight="1">
      <c r="A8" s="48"/>
      <c r="B8" s="48"/>
    </row>
    <row r="9" spans="1:6">
      <c r="A9" s="233" t="s">
        <v>348</v>
      </c>
      <c r="B9" s="233"/>
      <c r="C9" s="233"/>
    </row>
    <row r="10" spans="1:6" ht="15" customHeight="1">
      <c r="A10" s="48"/>
      <c r="B10" s="48"/>
      <c r="C10" s="202" t="s">
        <v>389</v>
      </c>
    </row>
    <row r="11" spans="1:6" ht="15" customHeight="1">
      <c r="A11" s="229" t="s">
        <v>123</v>
      </c>
      <c r="B11" s="229" t="s">
        <v>249</v>
      </c>
      <c r="C11" s="229" t="s">
        <v>470</v>
      </c>
    </row>
    <row r="12" spans="1:6" ht="15" customHeight="1">
      <c r="A12" s="230"/>
      <c r="B12" s="230"/>
      <c r="C12" s="230"/>
    </row>
    <row r="13" spans="1:6" ht="15" customHeight="1">
      <c r="A13" s="231"/>
      <c r="B13" s="231"/>
      <c r="C13" s="231"/>
    </row>
    <row r="14" spans="1:6" ht="15" customHeight="1">
      <c r="A14" s="227" t="s">
        <v>201</v>
      </c>
      <c r="B14" s="227" t="s">
        <v>202</v>
      </c>
      <c r="C14" s="173">
        <f>C15+C19+C25</f>
        <v>10748000</v>
      </c>
    </row>
    <row r="15" spans="1:6" ht="15" customHeight="1">
      <c r="A15" s="173" t="s">
        <v>124</v>
      </c>
      <c r="B15" s="173" t="s">
        <v>203</v>
      </c>
      <c r="C15" s="89">
        <f>SUM(C16:C18)</f>
        <v>9637000</v>
      </c>
    </row>
    <row r="16" spans="1:6" ht="15" customHeight="1">
      <c r="A16" s="89" t="s">
        <v>204</v>
      </c>
      <c r="B16" s="89" t="s">
        <v>205</v>
      </c>
      <c r="C16" s="89">
        <v>4823000</v>
      </c>
    </row>
    <row r="17" spans="1:3" ht="30" customHeight="1">
      <c r="A17" s="89" t="s">
        <v>206</v>
      </c>
      <c r="B17" s="174" t="s">
        <v>207</v>
      </c>
      <c r="C17" s="89">
        <v>1979000</v>
      </c>
    </row>
    <row r="18" spans="1:3" ht="29.25" customHeight="1">
      <c r="A18" s="89" t="s">
        <v>208</v>
      </c>
      <c r="B18" s="89" t="s">
        <v>209</v>
      </c>
      <c r="C18" s="89">
        <v>2835000</v>
      </c>
    </row>
    <row r="19" spans="1:3" ht="15" customHeight="1">
      <c r="A19" s="173" t="s">
        <v>126</v>
      </c>
      <c r="B19" s="173" t="s">
        <v>309</v>
      </c>
      <c r="C19" s="173">
        <f>SUM(C20+C23+C24)</f>
        <v>411000</v>
      </c>
    </row>
    <row r="20" spans="1:3" ht="15" customHeight="1">
      <c r="A20" s="89" t="s">
        <v>210</v>
      </c>
      <c r="B20" s="89" t="s">
        <v>211</v>
      </c>
      <c r="C20" s="89">
        <f>C22+C21</f>
        <v>259000</v>
      </c>
    </row>
    <row r="21" spans="1:3" ht="15" customHeight="1">
      <c r="A21" s="89" t="s">
        <v>300</v>
      </c>
      <c r="B21" s="89" t="s">
        <v>213</v>
      </c>
      <c r="C21" s="89">
        <v>249000</v>
      </c>
    </row>
    <row r="22" spans="1:3" ht="15" customHeight="1">
      <c r="A22" s="89" t="s">
        <v>301</v>
      </c>
      <c r="B22" s="89" t="s">
        <v>215</v>
      </c>
      <c r="C22" s="89">
        <v>10000</v>
      </c>
    </row>
    <row r="23" spans="1:3" ht="15" customHeight="1">
      <c r="A23" s="89" t="s">
        <v>212</v>
      </c>
      <c r="B23" s="89" t="s">
        <v>216</v>
      </c>
      <c r="C23" s="89">
        <v>7000</v>
      </c>
    </row>
    <row r="24" spans="1:3" ht="15" customHeight="1">
      <c r="A24" s="89" t="s">
        <v>214</v>
      </c>
      <c r="B24" s="89" t="s">
        <v>217</v>
      </c>
      <c r="C24" s="89">
        <v>145000</v>
      </c>
    </row>
    <row r="25" spans="1:3" ht="15" customHeight="1">
      <c r="A25" s="173" t="s">
        <v>127</v>
      </c>
      <c r="B25" s="173" t="s">
        <v>218</v>
      </c>
      <c r="C25" s="173">
        <f>C28+C27+C26</f>
        <v>700000</v>
      </c>
    </row>
    <row r="26" spans="1:3" ht="15" customHeight="1">
      <c r="A26" s="89" t="s">
        <v>219</v>
      </c>
      <c r="B26" s="89" t="s">
        <v>220</v>
      </c>
      <c r="C26" s="89">
        <v>25000</v>
      </c>
    </row>
    <row r="27" spans="1:3" ht="15" customHeight="1">
      <c r="A27" s="89" t="s">
        <v>221</v>
      </c>
      <c r="B27" s="89" t="s">
        <v>222</v>
      </c>
      <c r="C27" s="89">
        <v>34000</v>
      </c>
    </row>
    <row r="28" spans="1:3" ht="15" customHeight="1">
      <c r="A28" s="89" t="s">
        <v>223</v>
      </c>
      <c r="B28" s="89" t="s">
        <v>224</v>
      </c>
      <c r="C28" s="89">
        <v>641000</v>
      </c>
    </row>
    <row r="29" spans="1:3" ht="15" customHeight="1">
      <c r="A29" s="173" t="s">
        <v>225</v>
      </c>
      <c r="B29" s="173" t="s">
        <v>351</v>
      </c>
      <c r="C29" s="173">
        <f>C35+C34+C33+C32+C31+C30</f>
        <v>10725000</v>
      </c>
    </row>
    <row r="30" spans="1:3" ht="15" customHeight="1">
      <c r="A30" s="89" t="s">
        <v>204</v>
      </c>
      <c r="B30" s="174" t="s">
        <v>226</v>
      </c>
      <c r="C30" s="89">
        <f>1865200+16700+1500-44800-26000</f>
        <v>1812600</v>
      </c>
    </row>
    <row r="31" spans="1:3" ht="15" customHeight="1">
      <c r="A31" s="89" t="s">
        <v>206</v>
      </c>
      <c r="B31" s="174" t="s">
        <v>227</v>
      </c>
      <c r="C31" s="89">
        <f>5128000+1900-44000+1300</f>
        <v>5087200</v>
      </c>
    </row>
    <row r="32" spans="1:3" ht="15" customHeight="1">
      <c r="A32" s="89" t="s">
        <v>208</v>
      </c>
      <c r="B32" s="174" t="s">
        <v>228</v>
      </c>
      <c r="C32" s="89">
        <f>2620000+1600</f>
        <v>2621600</v>
      </c>
    </row>
    <row r="33" spans="1:3" ht="15" customHeight="1">
      <c r="A33" s="89" t="s">
        <v>234</v>
      </c>
      <c r="B33" s="174" t="s">
        <v>318</v>
      </c>
      <c r="C33" s="89">
        <v>1011000</v>
      </c>
    </row>
    <row r="34" spans="1:3" ht="15" customHeight="1">
      <c r="A34" s="89" t="s">
        <v>349</v>
      </c>
      <c r="B34" s="174" t="s">
        <v>471</v>
      </c>
      <c r="C34" s="89">
        <v>62100</v>
      </c>
    </row>
    <row r="35" spans="1:3" ht="15" customHeight="1">
      <c r="A35" s="89" t="s">
        <v>350</v>
      </c>
      <c r="B35" s="174" t="s">
        <v>352</v>
      </c>
      <c r="C35" s="89">
        <f>60400+5100+65000</f>
        <v>130500</v>
      </c>
    </row>
    <row r="36" spans="1:3" ht="15" customHeight="1">
      <c r="A36" s="173" t="s">
        <v>126</v>
      </c>
      <c r="B36" s="175" t="s">
        <v>353</v>
      </c>
      <c r="C36" s="173">
        <v>882000</v>
      </c>
    </row>
    <row r="37" spans="1:3" ht="15" customHeight="1">
      <c r="A37" s="173" t="s">
        <v>230</v>
      </c>
      <c r="B37" s="175" t="s">
        <v>231</v>
      </c>
      <c r="C37" s="173">
        <f>C49+C48+C46+C42+C38</f>
        <v>1433000</v>
      </c>
    </row>
    <row r="38" spans="1:3" ht="15" customHeight="1">
      <c r="A38" s="173" t="s">
        <v>124</v>
      </c>
      <c r="B38" s="175" t="s">
        <v>310</v>
      </c>
      <c r="C38" s="89">
        <f>C41+C40+C39</f>
        <v>143000</v>
      </c>
    </row>
    <row r="39" spans="1:3" ht="30" customHeight="1">
      <c r="A39" s="89" t="s">
        <v>204</v>
      </c>
      <c r="B39" s="174" t="s">
        <v>232</v>
      </c>
      <c r="C39" s="89">
        <v>90000</v>
      </c>
    </row>
    <row r="40" spans="1:3" ht="15" customHeight="1">
      <c r="A40" s="89" t="s">
        <v>206</v>
      </c>
      <c r="B40" s="174" t="s">
        <v>233</v>
      </c>
      <c r="C40" s="89">
        <v>40000</v>
      </c>
    </row>
    <row r="41" spans="1:3" ht="15" customHeight="1">
      <c r="A41" s="89" t="s">
        <v>208</v>
      </c>
      <c r="B41" s="174" t="s">
        <v>235</v>
      </c>
      <c r="C41" s="89">
        <v>13000</v>
      </c>
    </row>
    <row r="42" spans="1:3" ht="15" customHeight="1">
      <c r="A42" s="173" t="s">
        <v>126</v>
      </c>
      <c r="B42" s="175" t="s">
        <v>236</v>
      </c>
      <c r="C42" s="89">
        <f>C45+C44+C43</f>
        <v>1248000</v>
      </c>
    </row>
    <row r="43" spans="1:3" ht="15" customHeight="1">
      <c r="A43" s="89" t="s">
        <v>210</v>
      </c>
      <c r="B43" s="89" t="s">
        <v>237</v>
      </c>
      <c r="C43" s="89">
        <f>47900+4900</f>
        <v>52800</v>
      </c>
    </row>
    <row r="44" spans="1:3" ht="15" customHeight="1">
      <c r="A44" s="89" t="s">
        <v>212</v>
      </c>
      <c r="B44" s="89" t="s">
        <v>238</v>
      </c>
      <c r="C44" s="89">
        <f>192300+8400+30800</f>
        <v>231500</v>
      </c>
    </row>
    <row r="45" spans="1:3" ht="15.75" customHeight="1">
      <c r="A45" s="89" t="s">
        <v>214</v>
      </c>
      <c r="B45" s="89" t="s">
        <v>239</v>
      </c>
      <c r="C45" s="89">
        <f>949900-8400+22200</f>
        <v>963700</v>
      </c>
    </row>
    <row r="46" spans="1:3" ht="15" customHeight="1">
      <c r="A46" s="173" t="s">
        <v>127</v>
      </c>
      <c r="B46" s="173" t="s">
        <v>240</v>
      </c>
      <c r="C46" s="89">
        <f>C47</f>
        <v>1000</v>
      </c>
    </row>
    <row r="47" spans="1:3" ht="15" customHeight="1">
      <c r="A47" s="89" t="s">
        <v>219</v>
      </c>
      <c r="B47" s="89" t="s">
        <v>241</v>
      </c>
      <c r="C47" s="89">
        <v>1000</v>
      </c>
    </row>
    <row r="48" spans="1:3" ht="15" customHeight="1">
      <c r="A48" s="173" t="s">
        <v>128</v>
      </c>
      <c r="B48" s="173" t="s">
        <v>242</v>
      </c>
      <c r="C48" s="89">
        <v>6000</v>
      </c>
    </row>
    <row r="49" spans="1:3" ht="15" customHeight="1">
      <c r="A49" s="173" t="s">
        <v>129</v>
      </c>
      <c r="B49" s="173" t="s">
        <v>243</v>
      </c>
      <c r="C49" s="89">
        <f>C51+C50</f>
        <v>35000</v>
      </c>
    </row>
    <row r="50" spans="1:3" ht="15" customHeight="1">
      <c r="A50" s="89" t="s">
        <v>354</v>
      </c>
      <c r="B50" s="89" t="s">
        <v>244</v>
      </c>
      <c r="C50" s="89">
        <v>34000</v>
      </c>
    </row>
    <row r="51" spans="1:3" ht="15" customHeight="1">
      <c r="A51" s="89" t="s">
        <v>355</v>
      </c>
      <c r="B51" s="89" t="s">
        <v>245</v>
      </c>
      <c r="C51" s="89">
        <v>1000</v>
      </c>
    </row>
    <row r="52" spans="1:3" ht="15" customHeight="1">
      <c r="A52" s="173" t="s">
        <v>246</v>
      </c>
      <c r="B52" s="173" t="s">
        <v>247</v>
      </c>
      <c r="C52" s="173">
        <f>C37+C36+C29+C14</f>
        <v>23788000</v>
      </c>
    </row>
    <row r="53" spans="1:3" ht="15" customHeight="1">
      <c r="A53" s="173" t="s">
        <v>356</v>
      </c>
      <c r="B53" s="173" t="s">
        <v>357</v>
      </c>
      <c r="C53" s="173">
        <v>115600</v>
      </c>
    </row>
    <row r="54" spans="1:3" ht="15" customHeight="1">
      <c r="A54" s="89"/>
      <c r="B54" s="173" t="s">
        <v>247</v>
      </c>
      <c r="C54" s="173">
        <f>C52+C53</f>
        <v>23903600</v>
      </c>
    </row>
    <row r="55" spans="1:3">
      <c r="A55" s="232" t="s">
        <v>248</v>
      </c>
      <c r="B55" s="232"/>
      <c r="C55" s="232"/>
    </row>
    <row r="56" spans="1:3">
      <c r="A56" s="48"/>
      <c r="B56" s="48"/>
    </row>
    <row r="57" spans="1:3">
      <c r="A57" s="48"/>
      <c r="B57" s="48"/>
    </row>
    <row r="58" spans="1:3">
      <c r="A58" s="48"/>
      <c r="B58" s="48"/>
    </row>
    <row r="59" spans="1:3">
      <c r="A59" s="48"/>
      <c r="B59" s="48"/>
    </row>
    <row r="60" spans="1:3">
      <c r="A60" s="48"/>
      <c r="B60" s="48"/>
    </row>
    <row r="61" spans="1:3">
      <c r="A61" s="48"/>
      <c r="B61" s="48"/>
    </row>
    <row r="62" spans="1:3">
      <c r="A62" s="48"/>
      <c r="B62" s="48"/>
    </row>
    <row r="63" spans="1:3">
      <c r="A63" s="48"/>
      <c r="B63" s="48"/>
    </row>
    <row r="64" spans="1:3">
      <c r="A64" s="48"/>
      <c r="B64" s="48"/>
    </row>
    <row r="65" spans="1:2">
      <c r="A65" s="48"/>
      <c r="B65" s="48"/>
    </row>
    <row r="66" spans="1:2">
      <c r="A66" s="48"/>
      <c r="B66" s="48"/>
    </row>
    <row r="67" spans="1:2">
      <c r="A67" s="48"/>
      <c r="B67" s="48"/>
    </row>
    <row r="68" spans="1:2">
      <c r="A68" s="48"/>
      <c r="B68" s="48"/>
    </row>
    <row r="69" spans="1:2">
      <c r="A69" s="48"/>
      <c r="B69" s="48"/>
    </row>
    <row r="70" spans="1:2">
      <c r="A70" s="48"/>
      <c r="B70" s="48"/>
    </row>
    <row r="71" spans="1:2">
      <c r="A71" s="48"/>
      <c r="B71" s="48"/>
    </row>
    <row r="72" spans="1:2">
      <c r="A72" s="48"/>
      <c r="B72" s="48"/>
    </row>
    <row r="73" spans="1:2">
      <c r="A73" s="48"/>
      <c r="B73" s="48"/>
    </row>
    <row r="74" spans="1:2">
      <c r="A74" s="48"/>
      <c r="B74" s="48"/>
    </row>
    <row r="75" spans="1:2">
      <c r="A75" s="48"/>
      <c r="B75" s="48"/>
    </row>
    <row r="76" spans="1:2">
      <c r="A76" s="48"/>
      <c r="B76" s="48"/>
    </row>
    <row r="77" spans="1:2">
      <c r="A77" s="48"/>
      <c r="B77" s="48"/>
    </row>
    <row r="78" spans="1:2">
      <c r="A78" s="48"/>
      <c r="B78" s="48"/>
    </row>
    <row r="79" spans="1:2">
      <c r="A79" s="48"/>
      <c r="B79" s="48"/>
    </row>
    <row r="80" spans="1:2">
      <c r="A80" s="48"/>
      <c r="B80" s="48"/>
    </row>
    <row r="81" spans="1:2">
      <c r="A81" s="48"/>
      <c r="B81" s="48"/>
    </row>
    <row r="82" spans="1:2">
      <c r="A82" s="48"/>
      <c r="B82" s="48"/>
    </row>
    <row r="83" spans="1:2">
      <c r="A83" s="48"/>
      <c r="B83" s="48"/>
    </row>
    <row r="84" spans="1:2">
      <c r="A84" s="48"/>
      <c r="B84" s="48"/>
    </row>
    <row r="85" spans="1:2">
      <c r="A85" s="48"/>
      <c r="B85" s="48"/>
    </row>
    <row r="86" spans="1:2">
      <c r="A86" s="48"/>
      <c r="B86" s="48"/>
    </row>
    <row r="87" spans="1:2">
      <c r="A87" s="48"/>
      <c r="B87" s="48"/>
    </row>
    <row r="88" spans="1:2">
      <c r="A88" s="48"/>
      <c r="B88" s="48"/>
    </row>
    <row r="89" spans="1:2">
      <c r="A89" s="48"/>
      <c r="B89" s="48"/>
    </row>
    <row r="90" spans="1:2">
      <c r="A90" s="48"/>
      <c r="B90" s="48"/>
    </row>
    <row r="91" spans="1:2">
      <c r="A91" s="48"/>
      <c r="B91" s="48"/>
    </row>
    <row r="92" spans="1:2">
      <c r="A92" s="48"/>
      <c r="B92" s="48"/>
    </row>
    <row r="93" spans="1:2">
      <c r="A93" s="48"/>
      <c r="B93" s="48"/>
    </row>
    <row r="94" spans="1:2">
      <c r="A94" s="48"/>
      <c r="B94" s="48"/>
    </row>
    <row r="95" spans="1:2">
      <c r="A95" s="48"/>
      <c r="B95" s="48"/>
    </row>
    <row r="96" spans="1:2">
      <c r="A96" s="48"/>
      <c r="B96" s="48"/>
    </row>
    <row r="97" spans="1:2">
      <c r="A97" s="48"/>
      <c r="B97" s="48"/>
    </row>
    <row r="98" spans="1:2">
      <c r="A98" s="48"/>
      <c r="B98" s="48"/>
    </row>
    <row r="99" spans="1:2">
      <c r="A99" s="48"/>
      <c r="B99" s="48"/>
    </row>
    <row r="100" spans="1:2">
      <c r="A100" s="48"/>
      <c r="B100" s="48"/>
    </row>
    <row r="101" spans="1:2">
      <c r="A101" s="48"/>
      <c r="B101" s="48"/>
    </row>
    <row r="102" spans="1:2">
      <c r="A102" s="48"/>
      <c r="B102" s="48"/>
    </row>
    <row r="103" spans="1:2">
      <c r="A103" s="48"/>
      <c r="B103" s="48"/>
    </row>
    <row r="104" spans="1:2">
      <c r="A104" s="48"/>
      <c r="B104" s="48"/>
    </row>
    <row r="105" spans="1:2">
      <c r="A105" s="48"/>
      <c r="B105" s="48"/>
    </row>
    <row r="106" spans="1:2">
      <c r="A106" s="48"/>
      <c r="B106" s="48"/>
    </row>
    <row r="107" spans="1:2">
      <c r="A107" s="48"/>
      <c r="B107" s="48"/>
    </row>
    <row r="108" spans="1:2">
      <c r="A108" s="48"/>
      <c r="B108" s="48"/>
    </row>
    <row r="109" spans="1:2">
      <c r="A109" s="48"/>
      <c r="B109" s="48"/>
    </row>
    <row r="110" spans="1:2">
      <c r="A110" s="48"/>
      <c r="B110" s="48"/>
    </row>
    <row r="111" spans="1:2">
      <c r="A111" s="48"/>
      <c r="B111" s="48"/>
    </row>
    <row r="112" spans="1:2">
      <c r="A112" s="48"/>
      <c r="B112" s="48"/>
    </row>
    <row r="113" spans="1:2">
      <c r="A113" s="48"/>
      <c r="B113" s="48"/>
    </row>
    <row r="114" spans="1:2">
      <c r="A114" s="48"/>
      <c r="B114" s="48"/>
    </row>
    <row r="115" spans="1:2">
      <c r="A115" s="48"/>
      <c r="B115" s="48"/>
    </row>
    <row r="116" spans="1:2">
      <c r="A116" s="48"/>
      <c r="B116" s="48"/>
    </row>
    <row r="117" spans="1:2">
      <c r="A117" s="48"/>
      <c r="B117" s="48"/>
    </row>
    <row r="118" spans="1:2">
      <c r="A118" s="48"/>
      <c r="B118" s="48"/>
    </row>
  </sheetData>
  <mergeCells count="5">
    <mergeCell ref="C11:C13"/>
    <mergeCell ref="B11:B13"/>
    <mergeCell ref="A11:A13"/>
    <mergeCell ref="A55:C55"/>
    <mergeCell ref="A9:C9"/>
  </mergeCells>
  <phoneticPr fontId="5" type="noConversion"/>
  <pageMargins left="0.98425196850393704" right="0.19685039370078741" top="0.59055118110236227" bottom="0.1968503937007874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3"/>
  <sheetViews>
    <sheetView zoomScale="135" zoomScaleNormal="135" workbookViewId="0">
      <selection activeCell="C2" sqref="C2"/>
    </sheetView>
  </sheetViews>
  <sheetFormatPr defaultRowHeight="12.75"/>
  <cols>
    <col min="1" max="1" width="4" customWidth="1"/>
    <col min="2" max="2" width="9.7109375" customWidth="1"/>
    <col min="3" max="3" width="32.42578125" customWidth="1"/>
    <col min="4" max="4" width="10.42578125" customWidth="1"/>
    <col min="5" max="5" width="8.5703125" customWidth="1"/>
    <col min="6" max="6" width="11.28515625" customWidth="1"/>
    <col min="7" max="7" width="9.85546875" customWidth="1"/>
    <col min="8" max="8" width="10.140625" customWidth="1"/>
  </cols>
  <sheetData>
    <row r="1" spans="1:15" ht="12.75" customHeight="1">
      <c r="A1" s="3"/>
      <c r="B1" s="3"/>
      <c r="C1" s="3"/>
      <c r="D1" s="36"/>
      <c r="E1" s="250" t="s">
        <v>7</v>
      </c>
      <c r="F1" s="250"/>
      <c r="G1" s="250"/>
      <c r="H1" s="250"/>
    </row>
    <row r="2" spans="1:15" ht="12.75" customHeight="1">
      <c r="A2" s="3"/>
      <c r="B2" s="3"/>
      <c r="C2" s="3"/>
      <c r="D2" s="35"/>
      <c r="E2" s="250" t="s">
        <v>344</v>
      </c>
      <c r="F2" s="250"/>
      <c r="G2" s="250"/>
      <c r="H2" s="250"/>
    </row>
    <row r="3" spans="1:15" ht="12.75" customHeight="1">
      <c r="A3" s="3"/>
      <c r="B3" s="3"/>
      <c r="C3" s="3"/>
      <c r="D3" s="35"/>
      <c r="E3" s="250" t="s">
        <v>387</v>
      </c>
      <c r="F3" s="250"/>
      <c r="G3" s="250"/>
      <c r="H3" s="250"/>
    </row>
    <row r="4" spans="1:15" ht="12.75" customHeight="1">
      <c r="A4" s="1"/>
      <c r="B4" s="2"/>
      <c r="C4" s="3"/>
      <c r="D4" s="36"/>
      <c r="E4" s="256" t="s">
        <v>463</v>
      </c>
      <c r="F4" s="256"/>
      <c r="G4" s="256"/>
      <c r="H4" s="256"/>
    </row>
    <row r="5" spans="1:15" ht="12.75" customHeight="1">
      <c r="A5" s="1"/>
      <c r="B5" s="2"/>
      <c r="C5" s="17"/>
      <c r="D5" s="17"/>
      <c r="E5" s="250" t="s">
        <v>346</v>
      </c>
      <c r="F5" s="250"/>
      <c r="G5" s="250"/>
      <c r="H5" s="250"/>
    </row>
    <row r="6" spans="1:15" ht="12.75" customHeight="1">
      <c r="A6" s="1"/>
      <c r="B6" s="2"/>
      <c r="C6" s="17"/>
      <c r="D6" s="17"/>
      <c r="E6" s="250" t="s">
        <v>472</v>
      </c>
      <c r="F6" s="250"/>
      <c r="G6" s="250"/>
      <c r="H6" s="250"/>
    </row>
    <row r="7" spans="1:15">
      <c r="A7" s="1"/>
      <c r="B7" s="2"/>
      <c r="C7" s="17"/>
      <c r="D7" s="17"/>
      <c r="E7" s="257" t="s">
        <v>347</v>
      </c>
      <c r="F7" s="257"/>
      <c r="G7" s="257"/>
      <c r="H7" s="257"/>
    </row>
    <row r="8" spans="1:15">
      <c r="A8" s="1"/>
      <c r="B8" s="2"/>
      <c r="C8" s="17"/>
      <c r="D8" s="17"/>
      <c r="E8" s="198"/>
      <c r="F8" s="198"/>
      <c r="G8" s="198"/>
      <c r="H8" s="198"/>
    </row>
    <row r="9" spans="1:15" ht="12.75" customHeight="1">
      <c r="A9" s="255" t="s">
        <v>358</v>
      </c>
      <c r="B9" s="255"/>
      <c r="C9" s="255"/>
      <c r="D9" s="255"/>
      <c r="E9" s="255"/>
      <c r="F9" s="255"/>
      <c r="G9" s="255"/>
      <c r="H9" s="255"/>
    </row>
    <row r="10" spans="1:15">
      <c r="A10" s="255" t="s">
        <v>359</v>
      </c>
      <c r="B10" s="255"/>
      <c r="C10" s="255"/>
      <c r="D10" s="255"/>
      <c r="E10" s="255"/>
      <c r="F10" s="255"/>
      <c r="G10" s="255"/>
      <c r="H10" s="255"/>
    </row>
    <row r="11" spans="1:15">
      <c r="A11" s="49"/>
      <c r="B11" s="49"/>
      <c r="C11" s="49"/>
      <c r="D11" s="49"/>
      <c r="E11" s="49"/>
      <c r="F11" s="49"/>
      <c r="G11" s="49"/>
    </row>
    <row r="12" spans="1:15">
      <c r="A12" s="34"/>
      <c r="B12" s="34"/>
      <c r="C12" s="34"/>
      <c r="D12" s="34"/>
      <c r="E12" s="34"/>
      <c r="F12" s="34"/>
      <c r="G12" s="34"/>
      <c r="H12" s="202" t="s">
        <v>389</v>
      </c>
    </row>
    <row r="13" spans="1:15" ht="0.75" customHeight="1">
      <c r="A13" s="1"/>
      <c r="B13" s="2"/>
      <c r="C13" s="3"/>
      <c r="D13" s="44"/>
      <c r="E13" s="249"/>
      <c r="F13" s="249"/>
      <c r="G13" s="249"/>
    </row>
    <row r="14" spans="1:15" ht="26.25" customHeight="1">
      <c r="A14" s="237" t="s">
        <v>0</v>
      </c>
      <c r="B14" s="251" t="s">
        <v>1</v>
      </c>
      <c r="C14" s="237" t="s">
        <v>51</v>
      </c>
      <c r="D14" s="240" t="s">
        <v>2</v>
      </c>
      <c r="E14" s="244" t="s">
        <v>90</v>
      </c>
      <c r="F14" s="245"/>
      <c r="G14" s="245"/>
      <c r="H14" s="246"/>
      <c r="I14" s="168"/>
      <c r="J14" s="168"/>
      <c r="K14" s="168"/>
      <c r="L14" s="168"/>
      <c r="M14" s="168"/>
      <c r="N14" s="168"/>
      <c r="O14" s="168"/>
    </row>
    <row r="15" spans="1:15" ht="12.75" customHeight="1">
      <c r="A15" s="238"/>
      <c r="B15" s="252"/>
      <c r="C15" s="238"/>
      <c r="D15" s="241"/>
      <c r="E15" s="238" t="s">
        <v>3</v>
      </c>
      <c r="F15" s="247" t="s">
        <v>4</v>
      </c>
      <c r="G15" s="248"/>
      <c r="H15" s="237" t="s">
        <v>52</v>
      </c>
    </row>
    <row r="16" spans="1:15" ht="12.75" customHeight="1">
      <c r="A16" s="238"/>
      <c r="B16" s="252"/>
      <c r="C16" s="238"/>
      <c r="D16" s="241"/>
      <c r="E16" s="238"/>
      <c r="F16" s="237" t="s">
        <v>8</v>
      </c>
      <c r="G16" s="237" t="s">
        <v>91</v>
      </c>
      <c r="H16" s="238"/>
    </row>
    <row r="17" spans="1:8">
      <c r="A17" s="239"/>
      <c r="B17" s="253"/>
      <c r="C17" s="239"/>
      <c r="D17" s="242"/>
      <c r="E17" s="239"/>
      <c r="F17" s="254"/>
      <c r="G17" s="254"/>
      <c r="H17" s="239"/>
    </row>
    <row r="18" spans="1:8">
      <c r="A18" s="5">
        <v>1</v>
      </c>
      <c r="B18" s="6" t="s">
        <v>5</v>
      </c>
      <c r="C18" s="4">
        <v>3</v>
      </c>
      <c r="D18" s="6" t="s">
        <v>6</v>
      </c>
      <c r="E18" s="4">
        <v>5</v>
      </c>
      <c r="F18" s="4">
        <v>6</v>
      </c>
      <c r="G18" s="4">
        <v>7</v>
      </c>
      <c r="H18" s="4">
        <v>8</v>
      </c>
    </row>
    <row r="19" spans="1:8" ht="25.5">
      <c r="A19" s="38" t="s">
        <v>124</v>
      </c>
      <c r="B19" s="122" t="s">
        <v>10</v>
      </c>
      <c r="C19" s="18" t="s">
        <v>11</v>
      </c>
      <c r="D19" s="43"/>
      <c r="E19" s="110">
        <f>SUM(E20:E34)</f>
        <v>199000</v>
      </c>
      <c r="F19" s="110"/>
      <c r="G19" s="110">
        <f>SUM(G20:G34)</f>
        <v>199000</v>
      </c>
      <c r="H19" s="110">
        <f>SUM(H20:H34)</f>
        <v>0</v>
      </c>
    </row>
    <row r="20" spans="1:8">
      <c r="A20" s="33" t="s">
        <v>126</v>
      </c>
      <c r="B20" s="13" t="s">
        <v>30</v>
      </c>
      <c r="C20" s="19" t="s">
        <v>12</v>
      </c>
      <c r="D20" s="13" t="s">
        <v>92</v>
      </c>
      <c r="E20" s="21">
        <f>17600-4600</f>
        <v>13000</v>
      </c>
      <c r="F20" s="21"/>
      <c r="G20" s="21">
        <f>E20</f>
        <v>13000</v>
      </c>
      <c r="H20" s="177"/>
    </row>
    <row r="21" spans="1:8">
      <c r="A21" s="33" t="s">
        <v>127</v>
      </c>
      <c r="B21" s="13" t="s">
        <v>31</v>
      </c>
      <c r="C21" s="19" t="s">
        <v>325</v>
      </c>
      <c r="D21" s="13" t="s">
        <v>92</v>
      </c>
      <c r="E21" s="21">
        <f>27300-6200</f>
        <v>21100</v>
      </c>
      <c r="F21" s="21"/>
      <c r="G21" s="21">
        <f t="shared" ref="G21:G34" si="0">E21</f>
        <v>21100</v>
      </c>
      <c r="H21" s="177"/>
    </row>
    <row r="22" spans="1:8">
      <c r="A22" s="38" t="s">
        <v>128</v>
      </c>
      <c r="B22" s="43" t="s">
        <v>32</v>
      </c>
      <c r="C22" s="19" t="s">
        <v>360</v>
      </c>
      <c r="D22" s="43" t="s">
        <v>92</v>
      </c>
      <c r="E22" s="42">
        <v>22000</v>
      </c>
      <c r="F22" s="42"/>
      <c r="G22" s="42">
        <f t="shared" si="0"/>
        <v>22000</v>
      </c>
      <c r="H22" s="177"/>
    </row>
    <row r="23" spans="1:8" ht="25.5">
      <c r="A23" s="38" t="s">
        <v>129</v>
      </c>
      <c r="B23" s="43" t="s">
        <v>33</v>
      </c>
      <c r="C23" s="19" t="s">
        <v>326</v>
      </c>
      <c r="D23" s="43" t="s">
        <v>92</v>
      </c>
      <c r="E23" s="42">
        <f>17900-1200</f>
        <v>16700</v>
      </c>
      <c r="F23" s="42"/>
      <c r="G23" s="42">
        <f t="shared" si="0"/>
        <v>16700</v>
      </c>
      <c r="H23" s="177"/>
    </row>
    <row r="24" spans="1:8" ht="12.75" customHeight="1">
      <c r="A24" s="38" t="s">
        <v>130</v>
      </c>
      <c r="B24" s="43" t="s">
        <v>34</v>
      </c>
      <c r="C24" s="19" t="s">
        <v>361</v>
      </c>
      <c r="D24" s="43" t="s">
        <v>92</v>
      </c>
      <c r="E24" s="42">
        <v>31300</v>
      </c>
      <c r="F24" s="42"/>
      <c r="G24" s="42">
        <f t="shared" si="0"/>
        <v>31300</v>
      </c>
      <c r="H24" s="177"/>
    </row>
    <row r="25" spans="1:8" ht="12.75" customHeight="1">
      <c r="A25" s="38" t="s">
        <v>131</v>
      </c>
      <c r="B25" s="43" t="s">
        <v>35</v>
      </c>
      <c r="C25" s="19" t="s">
        <v>362</v>
      </c>
      <c r="D25" s="43" t="s">
        <v>92</v>
      </c>
      <c r="E25" s="42">
        <f>32800+1500</f>
        <v>34300</v>
      </c>
      <c r="F25" s="42"/>
      <c r="G25" s="42">
        <f>E25</f>
        <v>34300</v>
      </c>
      <c r="H25" s="177"/>
    </row>
    <row r="26" spans="1:8" ht="12.75" customHeight="1">
      <c r="A26" s="38" t="s">
        <v>132</v>
      </c>
      <c r="B26" s="43" t="s">
        <v>36</v>
      </c>
      <c r="C26" s="19" t="s">
        <v>342</v>
      </c>
      <c r="D26" s="43" t="s">
        <v>92</v>
      </c>
      <c r="E26" s="42">
        <f>11400+500</f>
        <v>11900</v>
      </c>
      <c r="F26" s="42"/>
      <c r="G26" s="42">
        <f t="shared" si="0"/>
        <v>11900</v>
      </c>
      <c r="H26" s="177"/>
    </row>
    <row r="27" spans="1:8" ht="12.75" customHeight="1">
      <c r="A27" s="38" t="s">
        <v>133</v>
      </c>
      <c r="B27" s="43" t="s">
        <v>37</v>
      </c>
      <c r="C27" s="176" t="s">
        <v>14</v>
      </c>
      <c r="D27" s="43" t="s">
        <v>92</v>
      </c>
      <c r="E27" s="42">
        <f>7100-1700</f>
        <v>5400</v>
      </c>
      <c r="F27" s="42"/>
      <c r="G27" s="42">
        <f t="shared" si="0"/>
        <v>5400</v>
      </c>
      <c r="H27" s="177"/>
    </row>
    <row r="28" spans="1:8" ht="25.5">
      <c r="A28" s="38" t="s">
        <v>134</v>
      </c>
      <c r="B28" s="43" t="s">
        <v>38</v>
      </c>
      <c r="C28" s="19" t="s">
        <v>327</v>
      </c>
      <c r="D28" s="43" t="s">
        <v>92</v>
      </c>
      <c r="E28" s="42">
        <f>10300-1200</f>
        <v>9100</v>
      </c>
      <c r="F28" s="42"/>
      <c r="G28" s="42">
        <f t="shared" si="0"/>
        <v>9100</v>
      </c>
      <c r="H28" s="177"/>
    </row>
    <row r="29" spans="1:8" ht="12.75" customHeight="1">
      <c r="A29" s="38" t="s">
        <v>135</v>
      </c>
      <c r="B29" s="43" t="s">
        <v>39</v>
      </c>
      <c r="C29" s="19" t="s">
        <v>328</v>
      </c>
      <c r="D29" s="43" t="s">
        <v>92</v>
      </c>
      <c r="E29" s="42">
        <f>12000-1500</f>
        <v>10500</v>
      </c>
      <c r="F29" s="42"/>
      <c r="G29" s="42">
        <f t="shared" si="0"/>
        <v>10500</v>
      </c>
      <c r="H29" s="177"/>
    </row>
    <row r="30" spans="1:8" ht="12.75" customHeight="1">
      <c r="A30" s="38" t="s">
        <v>136</v>
      </c>
      <c r="B30" s="43" t="s">
        <v>40</v>
      </c>
      <c r="C30" s="19" t="s">
        <v>329</v>
      </c>
      <c r="D30" s="43" t="s">
        <v>92</v>
      </c>
      <c r="E30" s="42">
        <f>9100-300</f>
        <v>8800</v>
      </c>
      <c r="F30" s="42"/>
      <c r="G30" s="42">
        <f t="shared" si="0"/>
        <v>8800</v>
      </c>
      <c r="H30" s="177"/>
    </row>
    <row r="31" spans="1:8">
      <c r="A31" s="38" t="s">
        <v>137</v>
      </c>
      <c r="B31" s="43" t="s">
        <v>41</v>
      </c>
      <c r="C31" s="19" t="s">
        <v>363</v>
      </c>
      <c r="D31" s="43" t="s">
        <v>92</v>
      </c>
      <c r="E31" s="42">
        <f>13900-500</f>
        <v>13400</v>
      </c>
      <c r="F31" s="42"/>
      <c r="G31" s="42">
        <f t="shared" si="0"/>
        <v>13400</v>
      </c>
      <c r="H31" s="177"/>
    </row>
    <row r="32" spans="1:8" ht="12.75" customHeight="1">
      <c r="A32" s="33" t="s">
        <v>138</v>
      </c>
      <c r="B32" s="13" t="s">
        <v>42</v>
      </c>
      <c r="C32" s="19" t="s">
        <v>15</v>
      </c>
      <c r="D32" s="13" t="s">
        <v>92</v>
      </c>
      <c r="E32" s="21">
        <v>400</v>
      </c>
      <c r="F32" s="21"/>
      <c r="G32" s="21">
        <f t="shared" si="0"/>
        <v>400</v>
      </c>
      <c r="H32" s="177"/>
    </row>
    <row r="33" spans="1:8">
      <c r="A33" s="33" t="s">
        <v>139</v>
      </c>
      <c r="B33" s="13" t="s">
        <v>43</v>
      </c>
      <c r="C33" s="19" t="s">
        <v>16</v>
      </c>
      <c r="D33" s="13" t="s">
        <v>92</v>
      </c>
      <c r="E33" s="21">
        <f>1100-600</f>
        <v>500</v>
      </c>
      <c r="F33" s="21"/>
      <c r="G33" s="21">
        <f t="shared" si="0"/>
        <v>500</v>
      </c>
      <c r="H33" s="177"/>
    </row>
    <row r="34" spans="1:8">
      <c r="A34" s="33" t="s">
        <v>140</v>
      </c>
      <c r="B34" s="13" t="s">
        <v>44</v>
      </c>
      <c r="C34" s="19" t="s">
        <v>171</v>
      </c>
      <c r="D34" s="13" t="s">
        <v>92</v>
      </c>
      <c r="E34" s="21">
        <v>600</v>
      </c>
      <c r="F34" s="21"/>
      <c r="G34" s="21">
        <f t="shared" si="0"/>
        <v>600</v>
      </c>
      <c r="H34" s="177"/>
    </row>
    <row r="35" spans="1:8" ht="38.25">
      <c r="A35" s="38" t="s">
        <v>141</v>
      </c>
      <c r="B35" s="32" t="s">
        <v>9</v>
      </c>
      <c r="C35" s="8" t="s">
        <v>17</v>
      </c>
      <c r="D35" s="144"/>
      <c r="E35" s="111">
        <f>SUM(E36+E39+E41+E43)</f>
        <v>689200</v>
      </c>
      <c r="F35" s="111">
        <f>SUM(F36+F39+F41+F43)</f>
        <v>275100</v>
      </c>
      <c r="G35" s="111">
        <f>SUM(G36+G39+G43)</f>
        <v>0</v>
      </c>
      <c r="H35" s="111">
        <f>SUM(H36+H39+H43)</f>
        <v>0</v>
      </c>
    </row>
    <row r="36" spans="1:8" ht="25.5">
      <c r="A36" s="40" t="s">
        <v>142</v>
      </c>
      <c r="B36" s="234" t="s">
        <v>24</v>
      </c>
      <c r="C36" s="52" t="s">
        <v>18</v>
      </c>
      <c r="D36" s="182"/>
      <c r="E36" s="138">
        <f>SUM(E37:E38)</f>
        <v>170500</v>
      </c>
      <c r="F36" s="138">
        <f>SUM(F37:F38)</f>
        <v>128200</v>
      </c>
      <c r="G36" s="138">
        <f>SUM(G37:G38)</f>
        <v>0</v>
      </c>
      <c r="H36" s="138">
        <f>SUM(H37:H38)</f>
        <v>0</v>
      </c>
    </row>
    <row r="37" spans="1:8" ht="25.5" customHeight="1">
      <c r="A37" s="38" t="s">
        <v>143</v>
      </c>
      <c r="B37" s="235"/>
      <c r="C37" s="119" t="s">
        <v>302</v>
      </c>
      <c r="D37" s="120" t="s">
        <v>93</v>
      </c>
      <c r="E37" s="116">
        <f>37200+2500</f>
        <v>39700</v>
      </c>
      <c r="F37" s="116">
        <f>28400+1900</f>
        <v>30300</v>
      </c>
      <c r="G37" s="9"/>
      <c r="H37" s="177"/>
    </row>
    <row r="38" spans="1:8" ht="12.75" customHeight="1">
      <c r="A38" s="7" t="s">
        <v>145</v>
      </c>
      <c r="B38" s="236"/>
      <c r="C38" s="119" t="s">
        <v>94</v>
      </c>
      <c r="D38" s="121" t="s">
        <v>95</v>
      </c>
      <c r="E38" s="62">
        <v>130800</v>
      </c>
      <c r="F38" s="62">
        <f>99900-2000</f>
        <v>97900</v>
      </c>
      <c r="G38" s="9"/>
      <c r="H38" s="177"/>
    </row>
    <row r="39" spans="1:8" ht="12.75" customHeight="1">
      <c r="A39" s="7" t="s">
        <v>147</v>
      </c>
      <c r="B39" s="234" t="s">
        <v>25</v>
      </c>
      <c r="C39" s="119" t="s">
        <v>89</v>
      </c>
      <c r="D39" s="120"/>
      <c r="E39" s="62">
        <f>SUM(E40)</f>
        <v>115300</v>
      </c>
      <c r="F39" s="62">
        <f>SUM(F40)</f>
        <v>72600</v>
      </c>
      <c r="G39" s="62">
        <f>SUM(G40)</f>
        <v>0</v>
      </c>
      <c r="H39" s="62">
        <f>SUM(H40)</f>
        <v>0</v>
      </c>
    </row>
    <row r="40" spans="1:8" ht="25.5">
      <c r="A40" s="38" t="s">
        <v>149</v>
      </c>
      <c r="B40" s="236"/>
      <c r="C40" s="119" t="s">
        <v>302</v>
      </c>
      <c r="D40" s="192" t="s">
        <v>93</v>
      </c>
      <c r="E40" s="116">
        <f>100100+15200</f>
        <v>115300</v>
      </c>
      <c r="F40" s="116">
        <f>63000+9600</f>
        <v>72600</v>
      </c>
      <c r="G40" s="26"/>
      <c r="H40" s="181"/>
    </row>
    <row r="41" spans="1:8" ht="25.5">
      <c r="A41" s="103" t="s">
        <v>151</v>
      </c>
      <c r="B41" s="197" t="s">
        <v>26</v>
      </c>
      <c r="C41" s="191" t="s">
        <v>364</v>
      </c>
      <c r="D41" s="201"/>
      <c r="E41" s="26">
        <f>SUM(E42)</f>
        <v>91900</v>
      </c>
      <c r="F41" s="26">
        <f>SUM(F42)</f>
        <v>63900</v>
      </c>
      <c r="G41" s="26">
        <f>SUM(G42)</f>
        <v>0</v>
      </c>
      <c r="H41" s="26">
        <f>SUM(H42)</f>
        <v>0</v>
      </c>
    </row>
    <row r="42" spans="1:8">
      <c r="A42" s="103" t="s">
        <v>152</v>
      </c>
      <c r="B42" s="197"/>
      <c r="C42" s="119" t="s">
        <v>365</v>
      </c>
      <c r="D42" s="201" t="s">
        <v>93</v>
      </c>
      <c r="E42" s="116">
        <f>90400+1500</f>
        <v>91900</v>
      </c>
      <c r="F42" s="116">
        <f>61500+1400+1000</f>
        <v>63900</v>
      </c>
      <c r="G42" s="26"/>
      <c r="H42" s="200"/>
    </row>
    <row r="43" spans="1:8" ht="12.75" customHeight="1">
      <c r="A43" s="104" t="s">
        <v>153</v>
      </c>
      <c r="B43" s="234" t="s">
        <v>188</v>
      </c>
      <c r="C43" s="171" t="s">
        <v>19</v>
      </c>
      <c r="D43" s="183"/>
      <c r="E43" s="138">
        <f>SUM(E44:E50)</f>
        <v>311500</v>
      </c>
      <c r="F43" s="138">
        <f>SUM(F44:F50)</f>
        <v>10400</v>
      </c>
      <c r="G43" s="138">
        <f>SUM(G44:G50)</f>
        <v>0</v>
      </c>
      <c r="H43" s="138">
        <f>SUM(H44:H50)</f>
        <v>0</v>
      </c>
    </row>
    <row r="44" spans="1:8" ht="25.5">
      <c r="A44" s="103" t="s">
        <v>154</v>
      </c>
      <c r="B44" s="235"/>
      <c r="C44" s="119" t="s">
        <v>302</v>
      </c>
      <c r="D44" s="184" t="s">
        <v>96</v>
      </c>
      <c r="E44" s="116">
        <f>97500-11600</f>
        <v>85900</v>
      </c>
      <c r="F44" s="27"/>
      <c r="G44" s="27"/>
      <c r="H44" s="181"/>
    </row>
    <row r="45" spans="1:8" ht="25.5" customHeight="1">
      <c r="A45" s="103" t="s">
        <v>155</v>
      </c>
      <c r="B45" s="235"/>
      <c r="C45" s="119" t="s">
        <v>303</v>
      </c>
      <c r="D45" s="184" t="s">
        <v>96</v>
      </c>
      <c r="E45" s="116">
        <f>2900-400</f>
        <v>2500</v>
      </c>
      <c r="F45" s="126"/>
      <c r="G45" s="139"/>
      <c r="H45" s="181"/>
    </row>
    <row r="46" spans="1:8">
      <c r="A46" s="105" t="s">
        <v>250</v>
      </c>
      <c r="B46" s="235"/>
      <c r="C46" s="96" t="s">
        <v>97</v>
      </c>
      <c r="D46" s="118" t="s">
        <v>98</v>
      </c>
      <c r="E46" s="62">
        <f>183400-22300+4000</f>
        <v>165100</v>
      </c>
      <c r="F46" s="9"/>
      <c r="G46" s="9"/>
      <c r="H46" s="177"/>
    </row>
    <row r="47" spans="1:8" ht="12.75" customHeight="1">
      <c r="A47" s="103" t="s">
        <v>251</v>
      </c>
      <c r="B47" s="235"/>
      <c r="C47" s="56" t="s">
        <v>366</v>
      </c>
      <c r="D47" s="184" t="s">
        <v>98</v>
      </c>
      <c r="E47" s="116">
        <f>4500-500+100</f>
        <v>4100</v>
      </c>
      <c r="F47" s="126">
        <f>3400-400</f>
        <v>3000</v>
      </c>
      <c r="G47" s="139"/>
      <c r="H47" s="181"/>
    </row>
    <row r="48" spans="1:8">
      <c r="A48" s="105" t="s">
        <v>252</v>
      </c>
      <c r="B48" s="235"/>
      <c r="C48" s="96" t="s">
        <v>99</v>
      </c>
      <c r="D48" s="118" t="s">
        <v>100</v>
      </c>
      <c r="E48" s="62">
        <f>83700-26700-13100</f>
        <v>43900</v>
      </c>
      <c r="F48" s="9"/>
      <c r="G48" s="9"/>
      <c r="H48" s="177"/>
    </row>
    <row r="49" spans="1:8" ht="25.5" customHeight="1">
      <c r="A49" s="103" t="s">
        <v>253</v>
      </c>
      <c r="B49" s="235"/>
      <c r="C49" s="56" t="s">
        <v>102</v>
      </c>
      <c r="D49" s="184" t="s">
        <v>100</v>
      </c>
      <c r="E49" s="116">
        <f>11900-1000-1200</f>
        <v>9700</v>
      </c>
      <c r="F49" s="126">
        <f>9100-800-900</f>
        <v>7400</v>
      </c>
      <c r="G49" s="27"/>
      <c r="H49" s="181"/>
    </row>
    <row r="50" spans="1:8" ht="38.25">
      <c r="A50" s="103" t="s">
        <v>254</v>
      </c>
      <c r="B50" s="235"/>
      <c r="C50" s="96" t="s">
        <v>367</v>
      </c>
      <c r="D50" s="184" t="s">
        <v>101</v>
      </c>
      <c r="E50" s="116">
        <v>300</v>
      </c>
      <c r="F50" s="27"/>
      <c r="G50" s="27"/>
      <c r="H50" s="181"/>
    </row>
    <row r="51" spans="1:8" ht="38.25">
      <c r="A51" s="38" t="s">
        <v>255</v>
      </c>
      <c r="B51" s="63" t="s">
        <v>20</v>
      </c>
      <c r="C51" s="23" t="s">
        <v>21</v>
      </c>
      <c r="D51" s="39"/>
      <c r="E51" s="111">
        <f>SUM(E52+E66)</f>
        <v>884400</v>
      </c>
      <c r="F51" s="111">
        <f>SUM(F52+F66)</f>
        <v>531000</v>
      </c>
      <c r="G51" s="111">
        <f>SUM(G52+G66)</f>
        <v>0</v>
      </c>
      <c r="H51" s="111">
        <f>SUM(H52+H66)</f>
        <v>5000</v>
      </c>
    </row>
    <row r="52" spans="1:8" ht="25.5">
      <c r="A52" s="38" t="s">
        <v>256</v>
      </c>
      <c r="B52" s="234" t="s">
        <v>27</v>
      </c>
      <c r="C52" s="10" t="s">
        <v>75</v>
      </c>
      <c r="D52" s="46"/>
      <c r="E52" s="29">
        <f>SUM(E53:E53:E65)</f>
        <v>455300</v>
      </c>
      <c r="F52" s="29">
        <f>SUM(F53:F53:F65)</f>
        <v>227100</v>
      </c>
      <c r="G52" s="29">
        <f>SUM(G53:G53:G65)</f>
        <v>0</v>
      </c>
      <c r="H52" s="29">
        <f>SUM(H53:H53:H65)</f>
        <v>5000</v>
      </c>
    </row>
    <row r="53" spans="1:8" ht="12.75" customHeight="1">
      <c r="A53" s="7" t="s">
        <v>257</v>
      </c>
      <c r="B53" s="235"/>
      <c r="C53" s="56" t="s">
        <v>103</v>
      </c>
      <c r="D53" s="60" t="s">
        <v>104</v>
      </c>
      <c r="E53" s="55">
        <v>16700</v>
      </c>
      <c r="F53" s="59">
        <f>11200-300</f>
        <v>10900</v>
      </c>
      <c r="G53" s="11"/>
      <c r="H53" s="177"/>
    </row>
    <row r="54" spans="1:8" ht="12.75" customHeight="1">
      <c r="A54" s="38" t="s">
        <v>258</v>
      </c>
      <c r="B54" s="235"/>
      <c r="C54" s="56" t="s">
        <v>315</v>
      </c>
      <c r="D54" s="54" t="s">
        <v>105</v>
      </c>
      <c r="E54" s="59">
        <v>25100</v>
      </c>
      <c r="F54" s="59">
        <v>19200</v>
      </c>
      <c r="G54" s="30"/>
      <c r="H54" s="181"/>
    </row>
    <row r="55" spans="1:8">
      <c r="A55" s="7" t="s">
        <v>259</v>
      </c>
      <c r="B55" s="235"/>
      <c r="C55" s="56" t="s">
        <v>106</v>
      </c>
      <c r="D55" s="60" t="s">
        <v>107</v>
      </c>
      <c r="E55" s="62">
        <v>15500</v>
      </c>
      <c r="F55" s="62">
        <v>6000</v>
      </c>
      <c r="G55" s="9"/>
      <c r="H55" s="177"/>
    </row>
    <row r="56" spans="1:8" ht="25.5">
      <c r="A56" s="38" t="s">
        <v>260</v>
      </c>
      <c r="B56" s="235"/>
      <c r="C56" s="56" t="s">
        <v>108</v>
      </c>
      <c r="D56" s="54" t="s">
        <v>109</v>
      </c>
      <c r="E56" s="116">
        <v>7600</v>
      </c>
      <c r="F56" s="116">
        <v>5800</v>
      </c>
      <c r="G56" s="27"/>
      <c r="H56" s="181"/>
    </row>
    <row r="57" spans="1:8">
      <c r="A57" s="7" t="s">
        <v>261</v>
      </c>
      <c r="B57" s="235"/>
      <c r="C57" s="56" t="s">
        <v>111</v>
      </c>
      <c r="D57" s="60" t="s">
        <v>110</v>
      </c>
      <c r="E57" s="62">
        <v>8000</v>
      </c>
      <c r="F57" s="62">
        <v>5400</v>
      </c>
      <c r="G57" s="9"/>
      <c r="H57" s="177"/>
    </row>
    <row r="58" spans="1:8">
      <c r="A58" s="7" t="s">
        <v>262</v>
      </c>
      <c r="B58" s="235"/>
      <c r="C58" s="56" t="s">
        <v>314</v>
      </c>
      <c r="D58" s="60" t="s">
        <v>338</v>
      </c>
      <c r="E58" s="62">
        <v>63400</v>
      </c>
      <c r="F58" s="62">
        <v>45400</v>
      </c>
      <c r="G58" s="9"/>
      <c r="H58" s="177"/>
    </row>
    <row r="59" spans="1:8">
      <c r="A59" s="7" t="s">
        <v>263</v>
      </c>
      <c r="B59" s="235"/>
      <c r="C59" s="56" t="s">
        <v>313</v>
      </c>
      <c r="D59" s="60" t="s">
        <v>338</v>
      </c>
      <c r="E59" s="62">
        <v>12600</v>
      </c>
      <c r="F59" s="62">
        <v>9600</v>
      </c>
      <c r="G59" s="9"/>
      <c r="H59" s="177"/>
    </row>
    <row r="60" spans="1:8">
      <c r="A60" s="7" t="s">
        <v>264</v>
      </c>
      <c r="B60" s="235"/>
      <c r="C60" s="56" t="s">
        <v>112</v>
      </c>
      <c r="D60" s="60" t="s">
        <v>113</v>
      </c>
      <c r="E60" s="55">
        <v>6400</v>
      </c>
      <c r="F60" s="55">
        <v>4900</v>
      </c>
      <c r="G60" s="11"/>
      <c r="H60" s="177"/>
    </row>
    <row r="61" spans="1:8" ht="25.5">
      <c r="A61" s="38" t="s">
        <v>265</v>
      </c>
      <c r="B61" s="235"/>
      <c r="C61" s="53" t="s">
        <v>114</v>
      </c>
      <c r="D61" s="54" t="s">
        <v>104</v>
      </c>
      <c r="E61" s="59">
        <v>600</v>
      </c>
      <c r="F61" s="59">
        <v>400</v>
      </c>
      <c r="G61" s="30"/>
      <c r="H61" s="181"/>
    </row>
    <row r="62" spans="1:8" ht="25.5" customHeight="1">
      <c r="A62" s="67" t="s">
        <v>266</v>
      </c>
      <c r="B62" s="235"/>
      <c r="C62" s="53" t="s">
        <v>115</v>
      </c>
      <c r="D62" s="113" t="s">
        <v>104</v>
      </c>
      <c r="E62" s="59">
        <v>500</v>
      </c>
      <c r="F62" s="59">
        <v>400</v>
      </c>
      <c r="G62" s="30"/>
      <c r="H62" s="177"/>
    </row>
    <row r="63" spans="1:8" ht="12.75" customHeight="1">
      <c r="A63" s="68" t="s">
        <v>267</v>
      </c>
      <c r="B63" s="235"/>
      <c r="C63" s="112" t="s">
        <v>116</v>
      </c>
      <c r="D63" s="114" t="s">
        <v>117</v>
      </c>
      <c r="E63" s="115">
        <v>9200</v>
      </c>
      <c r="F63" s="115">
        <v>2700</v>
      </c>
      <c r="G63" s="69"/>
      <c r="H63" s="177"/>
    </row>
    <row r="64" spans="1:8">
      <c r="A64" s="7" t="s">
        <v>268</v>
      </c>
      <c r="B64" s="235"/>
      <c r="C64" s="56" t="s">
        <v>118</v>
      </c>
      <c r="D64" s="60" t="s">
        <v>312</v>
      </c>
      <c r="E64" s="62">
        <v>160700</v>
      </c>
      <c r="F64" s="62">
        <v>116400</v>
      </c>
      <c r="G64" s="22"/>
      <c r="H64" s="177"/>
    </row>
    <row r="65" spans="1:8">
      <c r="A65" s="7" t="s">
        <v>269</v>
      </c>
      <c r="B65" s="236"/>
      <c r="C65" s="56" t="s">
        <v>119</v>
      </c>
      <c r="D65" s="60" t="s">
        <v>120</v>
      </c>
      <c r="E65" s="62">
        <v>129000</v>
      </c>
      <c r="F65" s="97"/>
      <c r="G65" s="9"/>
      <c r="H65" s="226">
        <v>5000</v>
      </c>
    </row>
    <row r="66" spans="1:8" ht="12.75" customHeight="1">
      <c r="A66" s="38" t="s">
        <v>270</v>
      </c>
      <c r="B66" s="37" t="s">
        <v>28</v>
      </c>
      <c r="C66" s="10" t="s">
        <v>22</v>
      </c>
      <c r="D66" s="39" t="s">
        <v>121</v>
      </c>
      <c r="E66" s="26">
        <f>412400+16700</f>
        <v>429100</v>
      </c>
      <c r="F66" s="26">
        <f>291200+12700</f>
        <v>303900</v>
      </c>
      <c r="G66" s="26"/>
      <c r="H66" s="177"/>
    </row>
    <row r="67" spans="1:8" ht="25.5">
      <c r="A67" s="38" t="s">
        <v>271</v>
      </c>
      <c r="B67" s="32" t="s">
        <v>82</v>
      </c>
      <c r="C67" s="50" t="s">
        <v>308</v>
      </c>
      <c r="D67" s="31"/>
      <c r="E67" s="31">
        <f>SUM(E68:E87)</f>
        <v>40000</v>
      </c>
      <c r="F67" s="31">
        <f>SUM(F68:F87)</f>
        <v>26600</v>
      </c>
      <c r="G67" s="31">
        <f>SUM(G68:G87)</f>
        <v>0</v>
      </c>
      <c r="H67" s="31">
        <f>SUM(H68:H87)</f>
        <v>0</v>
      </c>
    </row>
    <row r="68" spans="1:8">
      <c r="A68" s="38" t="s">
        <v>272</v>
      </c>
      <c r="B68" s="41" t="s">
        <v>87</v>
      </c>
      <c r="C68" s="19" t="s">
        <v>12</v>
      </c>
      <c r="D68" s="26" t="s">
        <v>337</v>
      </c>
      <c r="E68" s="26">
        <v>1000</v>
      </c>
      <c r="F68" s="26">
        <v>700</v>
      </c>
      <c r="G68" s="26"/>
      <c r="H68" s="26"/>
    </row>
    <row r="69" spans="1:8">
      <c r="A69" s="38" t="s">
        <v>273</v>
      </c>
      <c r="B69" s="41" t="s">
        <v>368</v>
      </c>
      <c r="C69" s="19" t="s">
        <v>325</v>
      </c>
      <c r="D69" s="26" t="s">
        <v>337</v>
      </c>
      <c r="E69" s="26">
        <v>1000</v>
      </c>
      <c r="F69" s="26">
        <f>700+100</f>
        <v>800</v>
      </c>
      <c r="G69" s="26"/>
      <c r="H69" s="26"/>
    </row>
    <row r="70" spans="1:8">
      <c r="A70" s="38" t="s">
        <v>274</v>
      </c>
      <c r="B70" s="41" t="s">
        <v>369</v>
      </c>
      <c r="C70" s="19" t="s">
        <v>360</v>
      </c>
      <c r="D70" s="26" t="s">
        <v>337</v>
      </c>
      <c r="E70" s="26">
        <v>1000</v>
      </c>
      <c r="F70" s="26">
        <v>700</v>
      </c>
      <c r="G70" s="26"/>
      <c r="H70" s="26"/>
    </row>
    <row r="71" spans="1:8" ht="25.5">
      <c r="A71" s="38" t="s">
        <v>275</v>
      </c>
      <c r="B71" s="41" t="s">
        <v>370</v>
      </c>
      <c r="C71" s="19" t="s">
        <v>326</v>
      </c>
      <c r="D71" s="26" t="s">
        <v>337</v>
      </c>
      <c r="E71" s="26">
        <v>1000</v>
      </c>
      <c r="F71" s="26">
        <v>700</v>
      </c>
      <c r="G71" s="26"/>
      <c r="H71" s="26"/>
    </row>
    <row r="72" spans="1:8">
      <c r="A72" s="38" t="s">
        <v>276</v>
      </c>
      <c r="B72" s="41" t="s">
        <v>371</v>
      </c>
      <c r="C72" s="19" t="s">
        <v>361</v>
      </c>
      <c r="D72" s="26" t="s">
        <v>337</v>
      </c>
      <c r="E72" s="26">
        <v>1000</v>
      </c>
      <c r="F72" s="26">
        <v>700</v>
      </c>
      <c r="G72" s="26"/>
      <c r="H72" s="26"/>
    </row>
    <row r="73" spans="1:8">
      <c r="A73" s="38" t="s">
        <v>277</v>
      </c>
      <c r="B73" s="41" t="s">
        <v>372</v>
      </c>
      <c r="C73" s="19" t="s">
        <v>362</v>
      </c>
      <c r="D73" s="26" t="s">
        <v>337</v>
      </c>
      <c r="E73" s="26">
        <v>1000</v>
      </c>
      <c r="F73" s="26">
        <v>700</v>
      </c>
      <c r="G73" s="26"/>
      <c r="H73" s="26"/>
    </row>
    <row r="74" spans="1:8">
      <c r="A74" s="38" t="s">
        <v>278</v>
      </c>
      <c r="B74" s="41" t="s">
        <v>373</v>
      </c>
      <c r="C74" s="176" t="s">
        <v>14</v>
      </c>
      <c r="D74" s="26" t="s">
        <v>337</v>
      </c>
      <c r="E74" s="26">
        <v>300</v>
      </c>
      <c r="F74" s="26">
        <v>200</v>
      </c>
      <c r="G74" s="26"/>
      <c r="H74" s="26"/>
    </row>
    <row r="75" spans="1:8" ht="25.5">
      <c r="A75" s="38" t="s">
        <v>280</v>
      </c>
      <c r="B75" s="41" t="s">
        <v>374</v>
      </c>
      <c r="C75" s="19" t="s">
        <v>327</v>
      </c>
      <c r="D75" s="26" t="s">
        <v>337</v>
      </c>
      <c r="E75" s="26">
        <v>300</v>
      </c>
      <c r="F75" s="26">
        <v>200</v>
      </c>
      <c r="G75" s="26"/>
      <c r="H75" s="26"/>
    </row>
    <row r="76" spans="1:8">
      <c r="A76" s="38" t="s">
        <v>281</v>
      </c>
      <c r="B76" s="41" t="s">
        <v>375</v>
      </c>
      <c r="C76" s="19" t="s">
        <v>328</v>
      </c>
      <c r="D76" s="26" t="s">
        <v>337</v>
      </c>
      <c r="E76" s="26">
        <v>300</v>
      </c>
      <c r="F76" s="26">
        <v>200</v>
      </c>
      <c r="G76" s="26"/>
      <c r="H76" s="26"/>
    </row>
    <row r="77" spans="1:8">
      <c r="A77" s="38" t="s">
        <v>282</v>
      </c>
      <c r="B77" s="41" t="s">
        <v>376</v>
      </c>
      <c r="C77" s="19" t="s">
        <v>329</v>
      </c>
      <c r="D77" s="26" t="s">
        <v>337</v>
      </c>
      <c r="E77" s="26">
        <v>300</v>
      </c>
      <c r="F77" s="26">
        <v>200</v>
      </c>
      <c r="G77" s="26"/>
      <c r="H77" s="26"/>
    </row>
    <row r="78" spans="1:8">
      <c r="A78" s="38" t="s">
        <v>283</v>
      </c>
      <c r="B78" s="41" t="s">
        <v>377</v>
      </c>
      <c r="C78" s="19" t="s">
        <v>363</v>
      </c>
      <c r="D78" s="26" t="s">
        <v>337</v>
      </c>
      <c r="E78" s="26">
        <v>300</v>
      </c>
      <c r="F78" s="26">
        <v>200</v>
      </c>
      <c r="G78" s="26"/>
      <c r="H78" s="26"/>
    </row>
    <row r="79" spans="1:8">
      <c r="A79" s="38" t="s">
        <v>284</v>
      </c>
      <c r="B79" s="41" t="s">
        <v>378</v>
      </c>
      <c r="C79" s="19" t="s">
        <v>16</v>
      </c>
      <c r="D79" s="26" t="s">
        <v>337</v>
      </c>
      <c r="E79" s="26">
        <v>300</v>
      </c>
      <c r="F79" s="26">
        <v>200</v>
      </c>
      <c r="G79" s="26"/>
      <c r="H79" s="26"/>
    </row>
    <row r="80" spans="1:8">
      <c r="A80" s="38" t="s">
        <v>285</v>
      </c>
      <c r="B80" s="41" t="s">
        <v>379</v>
      </c>
      <c r="C80" s="19" t="s">
        <v>171</v>
      </c>
      <c r="D80" s="26" t="s">
        <v>337</v>
      </c>
      <c r="E80" s="26">
        <v>300</v>
      </c>
      <c r="F80" s="26">
        <v>200</v>
      </c>
      <c r="G80" s="26"/>
      <c r="H80" s="26"/>
    </row>
    <row r="81" spans="1:8">
      <c r="A81" s="38" t="s">
        <v>286</v>
      </c>
      <c r="B81" s="41" t="s">
        <v>380</v>
      </c>
      <c r="C81" s="19" t="s">
        <v>54</v>
      </c>
      <c r="D81" s="26" t="s">
        <v>337</v>
      </c>
      <c r="E81" s="26">
        <v>300</v>
      </c>
      <c r="F81" s="26">
        <v>200</v>
      </c>
      <c r="G81" s="26"/>
      <c r="H81" s="26"/>
    </row>
    <row r="82" spans="1:8" ht="25.5">
      <c r="A82" s="38" t="s">
        <v>287</v>
      </c>
      <c r="B82" s="41" t="s">
        <v>381</v>
      </c>
      <c r="C82" s="19" t="s">
        <v>323</v>
      </c>
      <c r="D82" s="26" t="s">
        <v>337</v>
      </c>
      <c r="E82" s="26">
        <v>300</v>
      </c>
      <c r="F82" s="26">
        <v>200</v>
      </c>
      <c r="G82" s="26"/>
      <c r="H82" s="26"/>
    </row>
    <row r="83" spans="1:8">
      <c r="A83" s="38" t="s">
        <v>288</v>
      </c>
      <c r="B83" s="41" t="s">
        <v>382</v>
      </c>
      <c r="C83" s="10" t="s">
        <v>61</v>
      </c>
      <c r="D83" s="157" t="s">
        <v>337</v>
      </c>
      <c r="E83" s="26">
        <v>1000</v>
      </c>
      <c r="F83" s="26">
        <v>800</v>
      </c>
      <c r="G83" s="26"/>
      <c r="H83" s="26"/>
    </row>
    <row r="84" spans="1:8">
      <c r="A84" s="38" t="s">
        <v>289</v>
      </c>
      <c r="B84" s="41" t="s">
        <v>383</v>
      </c>
      <c r="C84" s="10" t="s">
        <v>80</v>
      </c>
      <c r="D84" s="157" t="s">
        <v>337</v>
      </c>
      <c r="E84" s="26">
        <v>300</v>
      </c>
      <c r="F84" s="26">
        <v>200</v>
      </c>
      <c r="G84" s="26"/>
      <c r="H84" s="26"/>
    </row>
    <row r="85" spans="1:8" ht="25.5">
      <c r="A85" s="38" t="s">
        <v>290</v>
      </c>
      <c r="B85" s="41" t="s">
        <v>384</v>
      </c>
      <c r="C85" s="10" t="s">
        <v>189</v>
      </c>
      <c r="D85" s="157" t="s">
        <v>337</v>
      </c>
      <c r="E85" s="26">
        <v>300</v>
      </c>
      <c r="F85" s="26">
        <v>200</v>
      </c>
      <c r="G85" s="26"/>
      <c r="H85" s="26"/>
    </row>
    <row r="86" spans="1:8">
      <c r="A86" s="38" t="s">
        <v>291</v>
      </c>
      <c r="B86" s="51" t="s">
        <v>385</v>
      </c>
      <c r="C86" s="10" t="s">
        <v>63</v>
      </c>
      <c r="D86" s="157" t="s">
        <v>337</v>
      </c>
      <c r="E86" s="26">
        <v>300</v>
      </c>
      <c r="F86" s="26">
        <v>200</v>
      </c>
      <c r="G86" s="26"/>
      <c r="H86" s="26"/>
    </row>
    <row r="87" spans="1:8" ht="12.75" customHeight="1">
      <c r="A87" s="38" t="s">
        <v>292</v>
      </c>
      <c r="B87" s="234" t="s">
        <v>386</v>
      </c>
      <c r="C87" s="10" t="s">
        <v>19</v>
      </c>
      <c r="D87" s="46"/>
      <c r="E87" s="26">
        <f>SUM(E88)</f>
        <v>29400</v>
      </c>
      <c r="F87" s="26">
        <f>SUM(F88)</f>
        <v>19100</v>
      </c>
      <c r="G87" s="97"/>
      <c r="H87" s="177"/>
    </row>
    <row r="88" spans="1:8" ht="25.5">
      <c r="A88" s="38" t="s">
        <v>293</v>
      </c>
      <c r="B88" s="236"/>
      <c r="C88" s="56" t="s">
        <v>122</v>
      </c>
      <c r="D88" s="54" t="s">
        <v>337</v>
      </c>
      <c r="E88" s="116">
        <v>29400</v>
      </c>
      <c r="F88" s="116">
        <v>19100</v>
      </c>
      <c r="G88" s="9"/>
      <c r="H88" s="177"/>
    </row>
    <row r="89" spans="1:8">
      <c r="A89" s="7" t="s">
        <v>294</v>
      </c>
      <c r="B89" s="14"/>
      <c r="C89" s="15" t="s">
        <v>190</v>
      </c>
      <c r="D89" s="16"/>
      <c r="E89" s="28">
        <f>SUM(E67+E51+E35+E19)</f>
        <v>1812600</v>
      </c>
      <c r="F89" s="28">
        <f>SUM(F67+F51+F35+F19)</f>
        <v>832700</v>
      </c>
      <c r="G89" s="28">
        <f>SUM(G67+G51+G35+G19)</f>
        <v>199000</v>
      </c>
      <c r="H89" s="28">
        <f>SUM(H67+H51+H35+H19)</f>
        <v>5000</v>
      </c>
    </row>
    <row r="90" spans="1:8">
      <c r="A90" s="243" t="s">
        <v>50</v>
      </c>
      <c r="B90" s="243"/>
      <c r="C90" s="243"/>
      <c r="D90" s="243"/>
      <c r="E90" s="243"/>
      <c r="F90" s="243"/>
      <c r="G90" s="243"/>
      <c r="H90" s="243"/>
    </row>
    <row r="93" spans="1:8">
      <c r="F93" t="s">
        <v>317</v>
      </c>
    </row>
  </sheetData>
  <mergeCells count="26">
    <mergeCell ref="E13:G13"/>
    <mergeCell ref="E1:H1"/>
    <mergeCell ref="E2:H2"/>
    <mergeCell ref="B36:B38"/>
    <mergeCell ref="A14:A17"/>
    <mergeCell ref="B14:B17"/>
    <mergeCell ref="F16:F17"/>
    <mergeCell ref="G16:G17"/>
    <mergeCell ref="A10:H10"/>
    <mergeCell ref="E3:H3"/>
    <mergeCell ref="E4:H4"/>
    <mergeCell ref="E5:H5"/>
    <mergeCell ref="E6:H6"/>
    <mergeCell ref="E7:H7"/>
    <mergeCell ref="A9:H9"/>
    <mergeCell ref="B43:B50"/>
    <mergeCell ref="B39:B40"/>
    <mergeCell ref="C14:C17"/>
    <mergeCell ref="D14:D17"/>
    <mergeCell ref="A90:H90"/>
    <mergeCell ref="E14:H14"/>
    <mergeCell ref="H15:H17"/>
    <mergeCell ref="B52:B65"/>
    <mergeCell ref="B87:B88"/>
    <mergeCell ref="E15:E17"/>
    <mergeCell ref="F15:G15"/>
  </mergeCells>
  <phoneticPr fontId="5" type="noConversion"/>
  <pageMargins left="0.98425196850393704" right="0.19685039370078741" top="0.19685039370078741" bottom="0.19685039370078741" header="0" footer="0"/>
  <pageSetup paperSize="9" scale="9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3"/>
  <sheetViews>
    <sheetView zoomScale="135" zoomScaleNormal="135" workbookViewId="0">
      <selection activeCell="C11" sqref="C11:C14"/>
    </sheetView>
  </sheetViews>
  <sheetFormatPr defaultRowHeight="12.75"/>
  <cols>
    <col min="1" max="1" width="4.85546875" customWidth="1"/>
    <col min="2" max="2" width="9.28515625" customWidth="1"/>
    <col min="3" max="3" width="37.28515625" customWidth="1"/>
    <col min="4" max="4" width="8.5703125" customWidth="1"/>
    <col min="5" max="5" width="9" customWidth="1"/>
    <col min="6" max="6" width="9.7109375" customWidth="1"/>
    <col min="7" max="7" width="10.28515625" customWidth="1"/>
    <col min="8" max="8" width="8.85546875" customWidth="1"/>
  </cols>
  <sheetData>
    <row r="1" spans="1:8" ht="14.1" customHeight="1">
      <c r="A1" s="70"/>
      <c r="B1" s="70"/>
      <c r="C1" s="71"/>
      <c r="D1" s="71"/>
      <c r="E1" s="70"/>
      <c r="F1" s="250" t="s">
        <v>7</v>
      </c>
      <c r="G1" s="250"/>
      <c r="H1" s="250"/>
    </row>
    <row r="2" spans="1:8" ht="14.1" customHeight="1">
      <c r="A2" s="71"/>
      <c r="B2" s="71"/>
      <c r="C2" s="71"/>
      <c r="D2" s="71"/>
      <c r="E2" s="71"/>
      <c r="F2" s="250" t="s">
        <v>344</v>
      </c>
      <c r="G2" s="250"/>
      <c r="H2" s="250"/>
    </row>
    <row r="3" spans="1:8" ht="14.1" customHeight="1">
      <c r="A3" s="71"/>
      <c r="B3" s="71"/>
      <c r="C3" s="71"/>
      <c r="D3" s="71"/>
      <c r="E3" s="71"/>
      <c r="F3" s="250" t="s">
        <v>387</v>
      </c>
      <c r="G3" s="250"/>
      <c r="H3" s="250"/>
    </row>
    <row r="4" spans="1:8" ht="15" customHeight="1">
      <c r="A4" s="71"/>
      <c r="B4" s="71"/>
      <c r="C4" s="71"/>
      <c r="E4" s="71"/>
      <c r="F4" s="17" t="s">
        <v>194</v>
      </c>
      <c r="G4" s="17"/>
      <c r="H4" s="17"/>
    </row>
    <row r="5" spans="1:8" ht="15" customHeight="1">
      <c r="A5" s="71"/>
      <c r="B5" s="71"/>
      <c r="C5" s="71"/>
      <c r="E5" s="71"/>
      <c r="F5" s="17" t="s">
        <v>346</v>
      </c>
      <c r="G5" s="17"/>
      <c r="H5" s="17"/>
    </row>
    <row r="6" spans="1:8" ht="15" customHeight="1">
      <c r="A6" s="71"/>
      <c r="B6" s="71"/>
      <c r="C6" s="71"/>
      <c r="E6" s="71"/>
      <c r="F6" s="17" t="s">
        <v>472</v>
      </c>
      <c r="G6" s="17"/>
      <c r="H6" s="17"/>
    </row>
    <row r="7" spans="1:8" ht="15" customHeight="1">
      <c r="A7" s="71"/>
      <c r="B7" s="71"/>
      <c r="C7" s="71"/>
      <c r="E7" s="71"/>
      <c r="F7" s="17" t="s">
        <v>388</v>
      </c>
      <c r="G7" s="17"/>
      <c r="H7" s="17"/>
    </row>
    <row r="8" spans="1:8" ht="12.75" customHeight="1">
      <c r="A8" s="71"/>
      <c r="B8" s="71"/>
      <c r="C8" s="71"/>
      <c r="D8" s="72"/>
      <c r="E8" s="71"/>
      <c r="F8" s="71"/>
      <c r="G8" s="71"/>
      <c r="H8" s="71"/>
    </row>
    <row r="9" spans="1:8" ht="12.75" customHeight="1">
      <c r="A9" s="233" t="s">
        <v>392</v>
      </c>
      <c r="B9" s="233"/>
      <c r="C9" s="233"/>
      <c r="D9" s="233"/>
      <c r="E9" s="233"/>
      <c r="F9" s="233"/>
      <c r="G9" s="233"/>
      <c r="H9" s="233"/>
    </row>
    <row r="10" spans="1:8" ht="12.75" customHeight="1">
      <c r="A10" s="165"/>
      <c r="B10" s="165"/>
      <c r="C10" s="165"/>
      <c r="D10" s="165"/>
      <c r="E10" s="165"/>
      <c r="F10" s="165"/>
      <c r="G10" s="179"/>
      <c r="H10" s="179" t="s">
        <v>389</v>
      </c>
    </row>
    <row r="11" spans="1:8" ht="12.75" customHeight="1">
      <c r="A11" s="260" t="s">
        <v>123</v>
      </c>
      <c r="B11" s="260" t="s">
        <v>1</v>
      </c>
      <c r="C11" s="274" t="s">
        <v>51</v>
      </c>
      <c r="D11" s="260" t="s">
        <v>2</v>
      </c>
      <c r="E11" s="263" t="s">
        <v>178</v>
      </c>
      <c r="F11" s="264"/>
      <c r="G11" s="264"/>
      <c r="H11" s="265"/>
    </row>
    <row r="12" spans="1:8" ht="12.75" customHeight="1">
      <c r="A12" s="261"/>
      <c r="B12" s="261"/>
      <c r="C12" s="275"/>
      <c r="D12" s="261"/>
      <c r="E12" s="268" t="s">
        <v>3</v>
      </c>
      <c r="F12" s="263" t="s">
        <v>4</v>
      </c>
      <c r="G12" s="264"/>
      <c r="H12" s="265"/>
    </row>
    <row r="13" spans="1:8" ht="12.75" customHeight="1">
      <c r="A13" s="261"/>
      <c r="B13" s="261"/>
      <c r="C13" s="275"/>
      <c r="D13" s="261"/>
      <c r="E13" s="269"/>
      <c r="F13" s="263" t="s">
        <v>176</v>
      </c>
      <c r="G13" s="265"/>
      <c r="H13" s="269" t="s">
        <v>52</v>
      </c>
    </row>
    <row r="14" spans="1:8" ht="28.5" customHeight="1">
      <c r="A14" s="262"/>
      <c r="B14" s="262"/>
      <c r="C14" s="276"/>
      <c r="D14" s="262"/>
      <c r="E14" s="270"/>
      <c r="F14" s="178" t="s">
        <v>177</v>
      </c>
      <c r="G14" s="73" t="s">
        <v>8</v>
      </c>
      <c r="H14" s="262"/>
    </row>
    <row r="15" spans="1:8" ht="13.5" customHeight="1">
      <c r="A15" s="74">
        <v>1</v>
      </c>
      <c r="B15" s="74">
        <v>2</v>
      </c>
      <c r="C15" s="74">
        <v>3</v>
      </c>
      <c r="D15" s="73">
        <v>4</v>
      </c>
      <c r="E15" s="73">
        <v>5</v>
      </c>
      <c r="F15" s="74">
        <v>6</v>
      </c>
      <c r="G15" s="74">
        <v>7</v>
      </c>
      <c r="H15" s="74">
        <v>8</v>
      </c>
    </row>
    <row r="16" spans="1:8" ht="25.5">
      <c r="A16" s="73"/>
      <c r="B16" s="122" t="s">
        <v>10</v>
      </c>
      <c r="C16" s="75" t="s">
        <v>11</v>
      </c>
      <c r="D16" s="76"/>
      <c r="E16" s="76">
        <f>SUM(E17:E42)</f>
        <v>5087200</v>
      </c>
      <c r="F16" s="76">
        <f>SUM(F17:F42)</f>
        <v>5077500</v>
      </c>
      <c r="G16" s="76">
        <f>SUM(G17:G42)</f>
        <v>3769500</v>
      </c>
      <c r="H16" s="76">
        <f>SUM(H17:H42)</f>
        <v>9700</v>
      </c>
    </row>
    <row r="17" spans="1:9" ht="12.75" customHeight="1">
      <c r="A17" s="77" t="s">
        <v>124</v>
      </c>
      <c r="B17" s="13" t="s">
        <v>30</v>
      </c>
      <c r="C17" s="78" t="s">
        <v>125</v>
      </c>
      <c r="D17" s="13" t="s">
        <v>77</v>
      </c>
      <c r="E17" s="79">
        <f>661900+900-13200+8800</f>
        <v>658400</v>
      </c>
      <c r="F17" s="79">
        <f>E17-H17</f>
        <v>658400</v>
      </c>
      <c r="G17" s="79">
        <f>494500+700-10100+1300</f>
        <v>486400</v>
      </c>
      <c r="H17" s="79"/>
    </row>
    <row r="18" spans="1:9" ht="12.75" customHeight="1">
      <c r="A18" s="80" t="s">
        <v>126</v>
      </c>
      <c r="B18" s="13" t="s">
        <v>31</v>
      </c>
      <c r="C18" s="81" t="s">
        <v>325</v>
      </c>
      <c r="D18" s="13" t="s">
        <v>77</v>
      </c>
      <c r="E18" s="82">
        <f>437600+500-6200+28200</f>
        <v>460100</v>
      </c>
      <c r="F18" s="79">
        <f>E18-H18</f>
        <v>457100</v>
      </c>
      <c r="G18" s="82">
        <f>328300+400-4700+17900</f>
        <v>341900</v>
      </c>
      <c r="H18" s="82">
        <v>3000</v>
      </c>
    </row>
    <row r="19" spans="1:9" ht="12.75" customHeight="1">
      <c r="A19" s="87" t="s">
        <v>127</v>
      </c>
      <c r="B19" s="13" t="s">
        <v>32</v>
      </c>
      <c r="C19" s="87" t="s">
        <v>360</v>
      </c>
      <c r="D19" s="13" t="s">
        <v>77</v>
      </c>
      <c r="E19" s="88">
        <f>339700+300-100+9000</f>
        <v>348900</v>
      </c>
      <c r="F19" s="79">
        <f t="shared" ref="F19:F26" si="0">E19-H19</f>
        <v>347100</v>
      </c>
      <c r="G19" s="88">
        <f>254000+200-100+2700</f>
        <v>256800</v>
      </c>
      <c r="H19" s="88">
        <v>1800</v>
      </c>
      <c r="I19" s="48"/>
    </row>
    <row r="20" spans="1:9" ht="12.75" customHeight="1">
      <c r="A20" s="89" t="s">
        <v>128</v>
      </c>
      <c r="B20" s="13" t="s">
        <v>33</v>
      </c>
      <c r="C20" s="87" t="s">
        <v>324</v>
      </c>
      <c r="D20" s="13" t="s">
        <v>77</v>
      </c>
      <c r="E20" s="88">
        <f>467400+200+900+4400</f>
        <v>472900</v>
      </c>
      <c r="F20" s="79">
        <f t="shared" si="0"/>
        <v>472900</v>
      </c>
      <c r="G20" s="88">
        <f>348200+200+700+3400</f>
        <v>352500</v>
      </c>
      <c r="H20" s="88"/>
    </row>
    <row r="21" spans="1:9" ht="12.75" customHeight="1">
      <c r="A21" s="87" t="s">
        <v>129</v>
      </c>
      <c r="B21" s="13" t="s">
        <v>34</v>
      </c>
      <c r="C21" s="89" t="s">
        <v>393</v>
      </c>
      <c r="D21" s="13" t="s">
        <v>77</v>
      </c>
      <c r="E21" s="88">
        <f>656700+900+7800+27200</f>
        <v>692600</v>
      </c>
      <c r="F21" s="79">
        <f t="shared" si="0"/>
        <v>692600</v>
      </c>
      <c r="G21" s="88">
        <f>490500+600+6000+18300</f>
        <v>515400</v>
      </c>
      <c r="H21" s="88"/>
    </row>
    <row r="22" spans="1:9" ht="12.75" customHeight="1">
      <c r="A22" s="89" t="s">
        <v>130</v>
      </c>
      <c r="B22" s="13" t="s">
        <v>35</v>
      </c>
      <c r="C22" s="89" t="s">
        <v>394</v>
      </c>
      <c r="D22" s="13" t="s">
        <v>77</v>
      </c>
      <c r="E22" s="88">
        <f>570200+1800-18700+40100</f>
        <v>593400</v>
      </c>
      <c r="F22" s="79">
        <f t="shared" si="0"/>
        <v>589100</v>
      </c>
      <c r="G22" s="88">
        <f>428800+1400-14300+25500</f>
        <v>441400</v>
      </c>
      <c r="H22" s="88">
        <v>4300</v>
      </c>
    </row>
    <row r="23" spans="1:9" ht="12.75" customHeight="1">
      <c r="A23" s="83" t="s">
        <v>131</v>
      </c>
      <c r="B23" s="13" t="s">
        <v>36</v>
      </c>
      <c r="C23" s="83" t="s">
        <v>342</v>
      </c>
      <c r="D23" s="13" t="s">
        <v>77</v>
      </c>
      <c r="E23" s="84">
        <f>257900+400-200+21300</f>
        <v>279400</v>
      </c>
      <c r="F23" s="79">
        <f t="shared" si="0"/>
        <v>279400</v>
      </c>
      <c r="G23" s="84">
        <f>193800+300-200+13800</f>
        <v>207700</v>
      </c>
      <c r="H23" s="84"/>
    </row>
    <row r="24" spans="1:9" ht="12.75" customHeight="1">
      <c r="A24" s="83" t="s">
        <v>132</v>
      </c>
      <c r="B24" s="13" t="s">
        <v>37</v>
      </c>
      <c r="C24" s="83" t="s">
        <v>14</v>
      </c>
      <c r="D24" s="13" t="s">
        <v>77</v>
      </c>
      <c r="E24" s="84">
        <f>255700+100-9700+19900</f>
        <v>266000</v>
      </c>
      <c r="F24" s="88">
        <f t="shared" si="0"/>
        <v>266000</v>
      </c>
      <c r="G24" s="84">
        <f>192300+100-7400+13000</f>
        <v>198000</v>
      </c>
      <c r="H24" s="84"/>
    </row>
    <row r="25" spans="1:9" ht="13.5" customHeight="1">
      <c r="A25" s="83" t="s">
        <v>133</v>
      </c>
      <c r="B25" s="13" t="s">
        <v>38</v>
      </c>
      <c r="C25" s="83" t="s">
        <v>322</v>
      </c>
      <c r="D25" s="13" t="s">
        <v>77</v>
      </c>
      <c r="E25" s="84">
        <f>147300+100-8400+25200</f>
        <v>164200</v>
      </c>
      <c r="F25" s="88">
        <f t="shared" si="0"/>
        <v>164200</v>
      </c>
      <c r="G25" s="84">
        <f>110900+100-6400+17700</f>
        <v>122300</v>
      </c>
      <c r="H25" s="84"/>
    </row>
    <row r="26" spans="1:9" ht="12.75" customHeight="1">
      <c r="A26" s="83" t="s">
        <v>134</v>
      </c>
      <c r="B26" s="13" t="s">
        <v>39</v>
      </c>
      <c r="C26" s="83" t="s">
        <v>331</v>
      </c>
      <c r="D26" s="13" t="s">
        <v>77</v>
      </c>
      <c r="E26" s="84">
        <f>189500+200+6200+22300</f>
        <v>218200</v>
      </c>
      <c r="F26" s="88">
        <f t="shared" si="0"/>
        <v>218200</v>
      </c>
      <c r="G26" s="84">
        <f>142400+200+4700+17500</f>
        <v>164800</v>
      </c>
      <c r="H26" s="84"/>
    </row>
    <row r="27" spans="1:9" ht="12.75" customHeight="1">
      <c r="A27" s="83" t="s">
        <v>135</v>
      </c>
      <c r="B27" s="158" t="s">
        <v>40</v>
      </c>
      <c r="C27" s="83" t="s">
        <v>332</v>
      </c>
      <c r="D27" s="190" t="s">
        <v>77</v>
      </c>
      <c r="E27" s="84">
        <f>200600+300+4500+37400</f>
        <v>242800</v>
      </c>
      <c r="F27" s="84">
        <f>E27-H27</f>
        <v>242800</v>
      </c>
      <c r="G27" s="84">
        <f>150800+200+3400+28600</f>
        <v>183000</v>
      </c>
      <c r="H27" s="84"/>
    </row>
    <row r="28" spans="1:9" ht="12" customHeight="1">
      <c r="A28" s="83" t="s">
        <v>136</v>
      </c>
      <c r="B28" s="13" t="s">
        <v>41</v>
      </c>
      <c r="C28" s="83" t="s">
        <v>341</v>
      </c>
      <c r="D28" s="155" t="s">
        <v>77</v>
      </c>
      <c r="E28" s="84">
        <f>219100+100-14600+27400</f>
        <v>232000</v>
      </c>
      <c r="F28" s="88">
        <f t="shared" ref="F28:F41" si="1">E28-H28</f>
        <v>232000</v>
      </c>
      <c r="G28" s="84">
        <f>164800+100-11100+20300</f>
        <v>174100</v>
      </c>
      <c r="H28" s="84"/>
    </row>
    <row r="29" spans="1:9" ht="12.75" customHeight="1">
      <c r="A29" s="83" t="s">
        <v>137</v>
      </c>
      <c r="B29" s="13" t="s">
        <v>42</v>
      </c>
      <c r="C29" s="91" t="s">
        <v>144</v>
      </c>
      <c r="D29" s="13" t="s">
        <v>77</v>
      </c>
      <c r="E29" s="88">
        <f>108600-2500+5000</f>
        <v>111100</v>
      </c>
      <c r="F29" s="88">
        <f t="shared" si="1"/>
        <v>111100</v>
      </c>
      <c r="G29" s="88">
        <f>80600-1900+3200</f>
        <v>81900</v>
      </c>
      <c r="H29" s="88"/>
    </row>
    <row r="30" spans="1:9" ht="12.75" customHeight="1">
      <c r="A30" s="87" t="s">
        <v>138</v>
      </c>
      <c r="B30" s="13" t="s">
        <v>43</v>
      </c>
      <c r="C30" s="91" t="s">
        <v>146</v>
      </c>
      <c r="D30" s="13" t="s">
        <v>77</v>
      </c>
      <c r="E30" s="88">
        <f>159400-2900+5300</f>
        <v>161800</v>
      </c>
      <c r="F30" s="88">
        <f t="shared" si="1"/>
        <v>161200</v>
      </c>
      <c r="G30" s="88">
        <f>118700-2200+3000</f>
        <v>119500</v>
      </c>
      <c r="H30" s="88">
        <f>800-200</f>
        <v>600</v>
      </c>
    </row>
    <row r="31" spans="1:9" ht="12.75" customHeight="1">
      <c r="A31" s="83" t="s">
        <v>139</v>
      </c>
      <c r="B31" s="13" t="s">
        <v>44</v>
      </c>
      <c r="C31" s="92" t="s">
        <v>148</v>
      </c>
      <c r="D31" s="13" t="s">
        <v>77</v>
      </c>
      <c r="E31" s="90">
        <f>80000-1000+3400</f>
        <v>82400</v>
      </c>
      <c r="F31" s="88">
        <f t="shared" si="1"/>
        <v>82400</v>
      </c>
      <c r="G31" s="90">
        <f>59500-800+2500</f>
        <v>61200</v>
      </c>
      <c r="H31" s="90"/>
    </row>
    <row r="32" spans="1:9" ht="12.75" customHeight="1">
      <c r="A32" s="83" t="s">
        <v>140</v>
      </c>
      <c r="B32" s="13" t="s">
        <v>45</v>
      </c>
      <c r="C32" s="83" t="s">
        <v>150</v>
      </c>
      <c r="D32" s="13" t="s">
        <v>77</v>
      </c>
      <c r="E32" s="84">
        <v>33400</v>
      </c>
      <c r="F32" s="88">
        <f t="shared" si="1"/>
        <v>33400</v>
      </c>
      <c r="G32" s="84">
        <v>25500</v>
      </c>
      <c r="H32" s="84"/>
    </row>
    <row r="33" spans="1:9" ht="12.75" customHeight="1">
      <c r="A33" s="83" t="s">
        <v>141</v>
      </c>
      <c r="B33" s="13" t="s">
        <v>46</v>
      </c>
      <c r="C33" s="87" t="s">
        <v>333</v>
      </c>
      <c r="D33" s="13" t="s">
        <v>77</v>
      </c>
      <c r="E33" s="90">
        <v>6400</v>
      </c>
      <c r="F33" s="88">
        <f t="shared" si="1"/>
        <v>6400</v>
      </c>
      <c r="G33" s="90">
        <v>4900</v>
      </c>
      <c r="H33" s="90"/>
    </row>
    <row r="34" spans="1:9" ht="12.75" customHeight="1">
      <c r="A34" s="83" t="s">
        <v>142</v>
      </c>
      <c r="B34" s="13" t="s">
        <v>47</v>
      </c>
      <c r="C34" s="93" t="s">
        <v>54</v>
      </c>
      <c r="D34" s="13" t="s">
        <v>77</v>
      </c>
      <c r="E34" s="90">
        <v>19500</v>
      </c>
      <c r="F34" s="88">
        <f t="shared" si="1"/>
        <v>19500</v>
      </c>
      <c r="G34" s="90">
        <v>14900</v>
      </c>
      <c r="H34" s="90"/>
    </row>
    <row r="35" spans="1:9" ht="12.75" customHeight="1">
      <c r="A35" s="272" t="s">
        <v>143</v>
      </c>
      <c r="B35" s="258" t="s">
        <v>48</v>
      </c>
      <c r="C35" s="272" t="s">
        <v>323</v>
      </c>
      <c r="D35" s="258" t="s">
        <v>77</v>
      </c>
      <c r="E35" s="266">
        <v>6700</v>
      </c>
      <c r="F35" s="266">
        <f t="shared" si="1"/>
        <v>6700</v>
      </c>
      <c r="G35" s="266">
        <v>5100</v>
      </c>
      <c r="H35" s="266"/>
    </row>
    <row r="36" spans="1:9" ht="12.75" customHeight="1">
      <c r="A36" s="273"/>
      <c r="B36" s="259"/>
      <c r="C36" s="273"/>
      <c r="D36" s="259"/>
      <c r="E36" s="267"/>
      <c r="F36" s="267"/>
      <c r="G36" s="267"/>
      <c r="H36" s="267"/>
    </row>
    <row r="37" spans="1:9" ht="12.75" customHeight="1">
      <c r="A37" s="87" t="s">
        <v>145</v>
      </c>
      <c r="B37" s="13" t="s">
        <v>49</v>
      </c>
      <c r="C37" s="87" t="s">
        <v>72</v>
      </c>
      <c r="D37" s="13" t="s">
        <v>77</v>
      </c>
      <c r="E37" s="88">
        <v>16000</v>
      </c>
      <c r="F37" s="88">
        <f t="shared" si="1"/>
        <v>16000</v>
      </c>
      <c r="G37" s="88">
        <v>12200</v>
      </c>
      <c r="H37" s="88"/>
    </row>
    <row r="38" spans="1:9" ht="12.75" customHeight="1">
      <c r="A38" s="87" t="s">
        <v>147</v>
      </c>
      <c r="B38" s="13" t="s">
        <v>53</v>
      </c>
      <c r="C38" s="87" t="s">
        <v>333</v>
      </c>
      <c r="D38" s="13" t="s">
        <v>77</v>
      </c>
      <c r="E38" s="88">
        <v>1800</v>
      </c>
      <c r="F38" s="88">
        <f t="shared" si="1"/>
        <v>1800</v>
      </c>
      <c r="G38" s="88"/>
      <c r="H38" s="88"/>
    </row>
    <row r="39" spans="1:9" ht="12.75" customHeight="1">
      <c r="A39" s="87" t="s">
        <v>149</v>
      </c>
      <c r="B39" s="13" t="s">
        <v>56</v>
      </c>
      <c r="C39" s="93" t="s">
        <v>54</v>
      </c>
      <c r="D39" s="13" t="s">
        <v>77</v>
      </c>
      <c r="E39" s="88">
        <v>400</v>
      </c>
      <c r="F39" s="88">
        <f t="shared" si="1"/>
        <v>400</v>
      </c>
      <c r="G39" s="88"/>
      <c r="H39" s="88"/>
    </row>
    <row r="40" spans="1:9" ht="26.25" customHeight="1">
      <c r="A40" s="87" t="s">
        <v>151</v>
      </c>
      <c r="B40" s="43" t="s">
        <v>57</v>
      </c>
      <c r="C40" s="204" t="s">
        <v>323</v>
      </c>
      <c r="D40" s="203" t="s">
        <v>77</v>
      </c>
      <c r="E40" s="88">
        <v>2700</v>
      </c>
      <c r="F40" s="88">
        <f t="shared" si="1"/>
        <v>2700</v>
      </c>
      <c r="G40" s="88"/>
      <c r="H40" s="88"/>
    </row>
    <row r="41" spans="1:9" ht="12.75" customHeight="1">
      <c r="A41" s="87" t="s">
        <v>152</v>
      </c>
      <c r="B41" s="13" t="s">
        <v>58</v>
      </c>
      <c r="C41" s="89" t="s">
        <v>61</v>
      </c>
      <c r="D41" s="158" t="s">
        <v>77</v>
      </c>
      <c r="E41" s="88">
        <v>1800</v>
      </c>
      <c r="F41" s="88">
        <f t="shared" si="1"/>
        <v>1800</v>
      </c>
      <c r="G41" s="88"/>
      <c r="H41" s="88"/>
    </row>
    <row r="42" spans="1:9" ht="12.75" customHeight="1">
      <c r="A42" s="87" t="s">
        <v>153</v>
      </c>
      <c r="B42" s="13" t="s">
        <v>59</v>
      </c>
      <c r="C42" s="87" t="s">
        <v>156</v>
      </c>
      <c r="D42" s="13"/>
      <c r="E42" s="88">
        <f>SUM(E43)</f>
        <v>14300</v>
      </c>
      <c r="F42" s="88">
        <f>SUM(F43)</f>
        <v>14300</v>
      </c>
      <c r="G42" s="88">
        <f>SUM(G43)</f>
        <v>0</v>
      </c>
      <c r="H42" s="88">
        <f>SUM(H43)</f>
        <v>0</v>
      </c>
    </row>
    <row r="43" spans="1:9" ht="25.5" customHeight="1">
      <c r="A43" s="85" t="s">
        <v>154</v>
      </c>
      <c r="B43" s="85"/>
      <c r="C43" s="94" t="s">
        <v>158</v>
      </c>
      <c r="D43" s="43" t="s">
        <v>77</v>
      </c>
      <c r="E43" s="86">
        <f>SUM(E44:E46)</f>
        <v>14300</v>
      </c>
      <c r="F43" s="86">
        <f>SUM(F44:F46)</f>
        <v>14300</v>
      </c>
      <c r="G43" s="86">
        <f>SUM(G44:G46)</f>
        <v>0</v>
      </c>
      <c r="H43" s="86">
        <f>SUM(H44:H46)</f>
        <v>0</v>
      </c>
    </row>
    <row r="44" spans="1:9" ht="12.75" customHeight="1">
      <c r="A44" s="94" t="s">
        <v>395</v>
      </c>
      <c r="B44" s="94"/>
      <c r="C44" s="95" t="s">
        <v>157</v>
      </c>
      <c r="D44" s="13" t="s">
        <v>77</v>
      </c>
      <c r="E44" s="95">
        <f>4700-4700</f>
        <v>0</v>
      </c>
      <c r="F44" s="180">
        <f>E44-H44</f>
        <v>0</v>
      </c>
      <c r="G44" s="95"/>
      <c r="H44" s="95"/>
      <c r="I44" s="140"/>
    </row>
    <row r="45" spans="1:9" ht="12.75" customHeight="1">
      <c r="A45" s="94" t="s">
        <v>396</v>
      </c>
      <c r="B45" s="94"/>
      <c r="C45" s="95" t="s">
        <v>398</v>
      </c>
      <c r="D45" s="13" t="s">
        <v>77</v>
      </c>
      <c r="E45" s="95">
        <v>14300</v>
      </c>
      <c r="F45" s="180">
        <f>E45-H45</f>
        <v>14300</v>
      </c>
      <c r="G45" s="95"/>
      <c r="H45" s="95"/>
    </row>
    <row r="46" spans="1:9" ht="39" customHeight="1">
      <c r="A46" s="94" t="s">
        <v>397</v>
      </c>
      <c r="B46" s="94"/>
      <c r="C46" s="95" t="s">
        <v>320</v>
      </c>
      <c r="D46" s="43" t="s">
        <v>77</v>
      </c>
      <c r="E46" s="95">
        <f>268700+800+14100+1300-284900</f>
        <v>0</v>
      </c>
      <c r="F46" s="180">
        <f>E46-H46</f>
        <v>0</v>
      </c>
      <c r="G46" s="95"/>
      <c r="H46" s="95"/>
    </row>
    <row r="47" spans="1:9" ht="12.75" customHeight="1">
      <c r="A47" s="193" t="s">
        <v>252</v>
      </c>
      <c r="B47" s="193"/>
      <c r="C47" s="164" t="s">
        <v>190</v>
      </c>
      <c r="D47" s="193"/>
      <c r="E47" s="194">
        <f>SUM(E17:E42)</f>
        <v>5087200</v>
      </c>
      <c r="F47" s="194">
        <f>SUM(F17:F42)</f>
        <v>5077500</v>
      </c>
      <c r="G47" s="194">
        <f>SUM(G17:G42)</f>
        <v>3769500</v>
      </c>
      <c r="H47" s="194">
        <f>SUM(H17:H42)</f>
        <v>9700</v>
      </c>
    </row>
    <row r="48" spans="1:9" ht="12.75" customHeight="1">
      <c r="A48" s="271" t="s">
        <v>279</v>
      </c>
      <c r="B48" s="271"/>
      <c r="C48" s="271"/>
      <c r="D48" s="271"/>
      <c r="E48" s="271"/>
      <c r="F48" s="271"/>
      <c r="G48" s="271"/>
      <c r="H48" s="271"/>
    </row>
    <row r="49" spans="1:8" ht="12.75" customHeight="1">
      <c r="A49" s="48"/>
      <c r="B49" s="48"/>
      <c r="C49" s="48"/>
      <c r="D49" s="48"/>
      <c r="E49" s="48"/>
      <c r="F49" s="48"/>
      <c r="G49" s="48"/>
      <c r="H49" s="48"/>
    </row>
    <row r="50" spans="1:8" ht="25.5" customHeight="1">
      <c r="A50" s="48"/>
      <c r="B50" s="48"/>
      <c r="C50" s="48"/>
      <c r="D50" s="48"/>
      <c r="E50" s="48"/>
      <c r="F50" s="48"/>
      <c r="G50" s="48"/>
      <c r="H50" s="48"/>
    </row>
    <row r="51" spans="1:8" ht="25.5" customHeight="1">
      <c r="A51" s="48"/>
      <c r="B51" s="48"/>
      <c r="C51" s="48"/>
      <c r="D51" s="48"/>
      <c r="E51" s="48"/>
      <c r="F51" s="48"/>
      <c r="G51" s="48"/>
      <c r="H51" s="48"/>
    </row>
    <row r="52" spans="1:8" ht="25.5" customHeight="1">
      <c r="A52" s="48"/>
      <c r="B52" s="48"/>
      <c r="C52" s="48"/>
      <c r="D52" s="48"/>
      <c r="E52" s="48"/>
      <c r="F52" s="48"/>
      <c r="G52" s="48"/>
      <c r="H52" s="48"/>
    </row>
    <row r="53" spans="1:8" ht="25.5" customHeight="1">
      <c r="A53" s="48"/>
      <c r="B53" s="48"/>
      <c r="C53" s="48"/>
      <c r="D53" s="48"/>
      <c r="E53" s="48"/>
      <c r="F53" s="48"/>
      <c r="G53" s="48"/>
      <c r="H53" s="48"/>
    </row>
    <row r="54" spans="1:8" ht="12.75" customHeight="1">
      <c r="A54" s="48"/>
      <c r="B54" s="48"/>
      <c r="C54" s="48"/>
      <c r="D54" s="48"/>
      <c r="E54" s="48"/>
      <c r="F54" s="48"/>
      <c r="G54" s="48"/>
      <c r="H54" s="48"/>
    </row>
    <row r="55" spans="1:8">
      <c r="A55" s="48"/>
      <c r="B55" s="48"/>
      <c r="C55" s="48"/>
      <c r="D55" s="48"/>
      <c r="E55" s="48"/>
      <c r="F55" s="48"/>
      <c r="G55" s="48"/>
      <c r="H55" s="48"/>
    </row>
    <row r="56" spans="1:8">
      <c r="A56" s="48"/>
      <c r="B56" s="48"/>
      <c r="C56" s="48"/>
      <c r="D56" s="48"/>
      <c r="E56" s="48"/>
      <c r="F56" s="48"/>
      <c r="G56" s="48"/>
      <c r="H56" s="48"/>
    </row>
    <row r="57" spans="1:8">
      <c r="A57" s="48"/>
      <c r="B57" s="48"/>
      <c r="C57" s="48"/>
      <c r="D57" s="48"/>
      <c r="E57" s="48"/>
      <c r="F57" s="48"/>
      <c r="G57" s="48"/>
      <c r="H57" s="48"/>
    </row>
    <row r="58" spans="1:8">
      <c r="A58" s="48"/>
      <c r="B58" s="48"/>
      <c r="C58" s="48"/>
      <c r="D58" s="48"/>
      <c r="E58" s="48"/>
      <c r="F58" s="48"/>
      <c r="G58" s="48"/>
      <c r="H58" s="48"/>
    </row>
    <row r="59" spans="1:8">
      <c r="A59" s="48"/>
      <c r="B59" s="48"/>
      <c r="C59" s="48"/>
      <c r="D59" s="48"/>
      <c r="E59" s="48"/>
      <c r="F59" s="48"/>
      <c r="G59" s="48"/>
      <c r="H59" s="48"/>
    </row>
    <row r="60" spans="1:8" ht="12.75" customHeight="1">
      <c r="A60" s="48"/>
      <c r="B60" s="48"/>
      <c r="C60" s="48"/>
      <c r="D60" s="48"/>
      <c r="E60" s="48"/>
      <c r="F60" s="48"/>
      <c r="G60" s="48"/>
      <c r="H60" s="48"/>
    </row>
    <row r="61" spans="1:8">
      <c r="A61" s="48"/>
      <c r="B61" s="48"/>
      <c r="C61" s="48"/>
      <c r="D61" s="48"/>
      <c r="E61" s="48"/>
      <c r="F61" s="48"/>
      <c r="G61" s="48"/>
      <c r="H61" s="48"/>
    </row>
    <row r="62" spans="1:8">
      <c r="A62" s="48"/>
      <c r="B62" s="48"/>
      <c r="C62" s="48"/>
      <c r="D62" s="48"/>
      <c r="E62" s="48"/>
      <c r="F62" s="48"/>
      <c r="G62" s="48"/>
      <c r="H62" s="48"/>
    </row>
    <row r="63" spans="1:8" ht="12.75" customHeight="1">
      <c r="A63" s="48"/>
      <c r="B63" s="48"/>
      <c r="C63" s="48"/>
      <c r="D63" s="48"/>
      <c r="E63" s="48"/>
      <c r="F63" s="48"/>
      <c r="G63" s="48"/>
      <c r="H63" s="48"/>
    </row>
    <row r="64" spans="1:8">
      <c r="A64" s="48"/>
      <c r="B64" s="48"/>
      <c r="C64" s="48"/>
      <c r="D64" s="48"/>
      <c r="E64" s="48"/>
      <c r="F64" s="48"/>
      <c r="G64" s="48"/>
      <c r="H64" s="48"/>
    </row>
    <row r="65" spans="1:8">
      <c r="A65" s="48"/>
      <c r="B65" s="48"/>
      <c r="C65" s="48"/>
      <c r="D65" s="48"/>
      <c r="E65" s="48"/>
      <c r="F65" s="48"/>
      <c r="G65" s="48"/>
      <c r="H65" s="48"/>
    </row>
    <row r="66" spans="1:8">
      <c r="A66" s="48"/>
      <c r="B66" s="48"/>
      <c r="C66" s="48"/>
      <c r="D66" s="48"/>
      <c r="E66" s="48"/>
      <c r="F66" s="48"/>
      <c r="G66" s="48"/>
      <c r="H66" s="48"/>
    </row>
    <row r="67" spans="1:8">
      <c r="A67" s="48"/>
      <c r="B67" s="48"/>
      <c r="C67" s="48"/>
      <c r="D67" s="48"/>
      <c r="E67" s="48"/>
      <c r="F67" s="48"/>
      <c r="G67" s="48"/>
      <c r="H67" s="48"/>
    </row>
    <row r="68" spans="1:8">
      <c r="A68" s="48"/>
      <c r="B68" s="48"/>
      <c r="C68" s="48"/>
      <c r="D68" s="48"/>
      <c r="E68" s="48"/>
      <c r="F68" s="48"/>
      <c r="G68" s="48"/>
      <c r="H68" s="48"/>
    </row>
    <row r="69" spans="1:8">
      <c r="A69" s="48"/>
      <c r="B69" s="48"/>
      <c r="C69" s="48"/>
      <c r="D69" s="48"/>
      <c r="E69" s="48"/>
      <c r="F69" s="48"/>
      <c r="G69" s="48"/>
      <c r="H69" s="48"/>
    </row>
    <row r="70" spans="1:8">
      <c r="A70" s="48"/>
      <c r="B70" s="48"/>
      <c r="C70" s="48"/>
      <c r="D70" s="48"/>
      <c r="E70" s="48"/>
      <c r="F70" s="48"/>
      <c r="G70" s="48"/>
      <c r="H70" s="48"/>
    </row>
    <row r="71" spans="1:8">
      <c r="A71" s="48"/>
      <c r="B71" s="48"/>
      <c r="C71" s="48"/>
      <c r="D71" s="48"/>
      <c r="E71" s="48"/>
      <c r="F71" s="48"/>
      <c r="G71" s="48"/>
      <c r="H71" s="48"/>
    </row>
    <row r="72" spans="1:8">
      <c r="A72" s="48"/>
      <c r="B72" s="48"/>
      <c r="C72" s="48"/>
      <c r="D72" s="48"/>
      <c r="E72" s="48"/>
      <c r="F72" s="48"/>
      <c r="G72" s="48"/>
      <c r="H72" s="48"/>
    </row>
    <row r="73" spans="1:8">
      <c r="A73" s="48"/>
      <c r="B73" s="48"/>
      <c r="C73" s="48"/>
      <c r="D73" s="48"/>
      <c r="E73" s="48"/>
      <c r="F73" s="48"/>
      <c r="G73" s="48"/>
      <c r="H73" s="48"/>
    </row>
    <row r="74" spans="1:8">
      <c r="A74" s="48"/>
      <c r="B74" s="48"/>
      <c r="C74" s="48"/>
      <c r="D74" s="48"/>
      <c r="E74" s="48"/>
      <c r="F74" s="48"/>
      <c r="G74" s="48"/>
      <c r="H74" s="48"/>
    </row>
    <row r="75" spans="1:8">
      <c r="A75" s="48"/>
      <c r="B75" s="48"/>
      <c r="C75" s="48"/>
      <c r="D75" s="48"/>
      <c r="E75" s="48"/>
      <c r="F75" s="48"/>
      <c r="G75" s="48"/>
      <c r="H75" s="48"/>
    </row>
    <row r="76" spans="1:8">
      <c r="A76" s="48"/>
      <c r="B76" s="48"/>
      <c r="C76" s="48"/>
      <c r="D76" s="48"/>
      <c r="E76" s="48"/>
      <c r="F76" s="48"/>
      <c r="G76" s="48"/>
      <c r="H76" s="48"/>
    </row>
    <row r="77" spans="1:8">
      <c r="A77" s="48"/>
      <c r="B77" s="48"/>
      <c r="C77" s="48"/>
      <c r="D77" s="48"/>
      <c r="E77" s="48"/>
      <c r="F77" s="48"/>
      <c r="G77" s="48"/>
      <c r="H77" s="48"/>
    </row>
    <row r="78" spans="1:8">
      <c r="A78" s="48"/>
      <c r="B78" s="48"/>
      <c r="C78" s="48"/>
      <c r="D78" s="48"/>
      <c r="E78" s="48"/>
      <c r="F78" s="48"/>
      <c r="G78" s="48"/>
      <c r="H78" s="48"/>
    </row>
    <row r="79" spans="1:8">
      <c r="A79" s="48"/>
      <c r="B79" s="48"/>
      <c r="C79" s="48"/>
      <c r="D79" s="48"/>
      <c r="E79" s="48"/>
      <c r="F79" s="48"/>
      <c r="G79" s="48"/>
      <c r="H79" s="48"/>
    </row>
    <row r="80" spans="1:8">
      <c r="A80" s="48"/>
      <c r="B80" s="48"/>
      <c r="C80" s="48"/>
      <c r="D80" s="48"/>
      <c r="E80" s="48"/>
      <c r="F80" s="48"/>
      <c r="G80" s="48"/>
      <c r="H80" s="48"/>
    </row>
    <row r="81" spans="1:8">
      <c r="A81" s="48"/>
      <c r="B81" s="48"/>
      <c r="C81" s="48"/>
      <c r="D81" s="48"/>
      <c r="E81" s="48"/>
      <c r="F81" s="48"/>
      <c r="G81" s="48"/>
      <c r="H81" s="48"/>
    </row>
    <row r="82" spans="1:8">
      <c r="A82" s="48"/>
      <c r="B82" s="48"/>
      <c r="C82" s="48"/>
      <c r="D82" s="48"/>
      <c r="E82" s="48"/>
      <c r="F82" s="48"/>
      <c r="G82" s="48"/>
      <c r="H82" s="48"/>
    </row>
    <row r="83" spans="1:8">
      <c r="A83" s="48"/>
      <c r="B83" s="48"/>
      <c r="C83" s="48"/>
      <c r="D83" s="48"/>
      <c r="E83" s="48"/>
      <c r="F83" s="48"/>
      <c r="G83" s="48"/>
      <c r="H83" s="48"/>
    </row>
    <row r="84" spans="1:8">
      <c r="A84" s="48"/>
      <c r="B84" s="48"/>
      <c r="C84" s="48"/>
      <c r="D84" s="48"/>
      <c r="E84" s="48"/>
      <c r="F84" s="48"/>
      <c r="G84" s="48"/>
      <c r="H84" s="48"/>
    </row>
    <row r="85" spans="1:8">
      <c r="A85" s="48"/>
      <c r="B85" s="48"/>
      <c r="C85" s="48"/>
      <c r="D85" s="48"/>
      <c r="E85" s="48"/>
      <c r="F85" s="48"/>
      <c r="G85" s="48"/>
      <c r="H85" s="48"/>
    </row>
    <row r="86" spans="1:8">
      <c r="A86" s="48"/>
      <c r="B86" s="48"/>
      <c r="C86" s="48"/>
      <c r="D86" s="48"/>
      <c r="E86" s="48"/>
      <c r="F86" s="48"/>
      <c r="G86" s="48"/>
      <c r="H86" s="48"/>
    </row>
    <row r="87" spans="1:8">
      <c r="A87" s="48"/>
      <c r="B87" s="48"/>
      <c r="C87" s="48"/>
      <c r="D87" s="48"/>
      <c r="E87" s="48"/>
      <c r="F87" s="48"/>
      <c r="G87" s="48"/>
      <c r="H87" s="48"/>
    </row>
    <row r="88" spans="1:8">
      <c r="A88" s="48"/>
      <c r="B88" s="48"/>
      <c r="C88" s="48"/>
      <c r="D88" s="48"/>
      <c r="E88" s="48"/>
      <c r="F88" s="48"/>
      <c r="G88" s="48"/>
      <c r="H88" s="48"/>
    </row>
    <row r="89" spans="1:8">
      <c r="A89" s="48"/>
      <c r="B89" s="48"/>
      <c r="C89" s="48"/>
      <c r="D89" s="48"/>
      <c r="E89" s="48"/>
      <c r="F89" s="48"/>
      <c r="G89" s="48"/>
      <c r="H89" s="48"/>
    </row>
    <row r="90" spans="1:8">
      <c r="A90" s="48"/>
      <c r="B90" s="48"/>
      <c r="C90" s="48"/>
      <c r="D90" s="48"/>
      <c r="E90" s="48"/>
      <c r="F90" s="48"/>
      <c r="G90" s="48"/>
      <c r="H90" s="48"/>
    </row>
    <row r="91" spans="1:8">
      <c r="A91" s="48"/>
      <c r="B91" s="48"/>
      <c r="C91" s="48"/>
      <c r="D91" s="48"/>
      <c r="E91" s="48"/>
      <c r="F91" s="48"/>
      <c r="G91" s="48"/>
      <c r="H91" s="48"/>
    </row>
    <row r="92" spans="1:8">
      <c r="A92" s="48"/>
      <c r="B92" s="48"/>
      <c r="C92" s="48"/>
      <c r="D92" s="48"/>
      <c r="E92" s="48"/>
      <c r="F92" s="48"/>
      <c r="G92" s="48"/>
      <c r="H92" s="48"/>
    </row>
    <row r="93" spans="1:8">
      <c r="A93" s="48"/>
      <c r="B93" s="48"/>
      <c r="C93" s="48"/>
      <c r="D93" s="48"/>
      <c r="E93" s="48"/>
      <c r="F93" s="48"/>
      <c r="G93" s="48"/>
      <c r="H93" s="48"/>
    </row>
    <row r="94" spans="1:8">
      <c r="A94" s="48"/>
      <c r="B94" s="48"/>
      <c r="C94" s="48"/>
      <c r="D94" s="48"/>
      <c r="E94" s="48"/>
      <c r="F94" s="48"/>
      <c r="G94" s="48"/>
      <c r="H94" s="48"/>
    </row>
    <row r="95" spans="1:8">
      <c r="A95" s="48"/>
      <c r="B95" s="48"/>
      <c r="C95" s="48"/>
      <c r="D95" s="48"/>
      <c r="E95" s="48"/>
      <c r="F95" s="48"/>
      <c r="G95" s="48"/>
      <c r="H95" s="48"/>
    </row>
    <row r="96" spans="1:8">
      <c r="A96" s="48"/>
      <c r="B96" s="48"/>
      <c r="C96" s="48"/>
      <c r="D96" s="48"/>
      <c r="E96" s="48"/>
      <c r="F96" s="48"/>
      <c r="G96" s="48"/>
      <c r="H96" s="48"/>
    </row>
    <row r="97" spans="1:8">
      <c r="A97" s="48"/>
      <c r="B97" s="48"/>
      <c r="C97" s="48"/>
      <c r="D97" s="48"/>
      <c r="E97" s="48"/>
      <c r="F97" s="48"/>
      <c r="G97" s="48"/>
      <c r="H97" s="48"/>
    </row>
    <row r="98" spans="1:8">
      <c r="A98" s="48"/>
      <c r="B98" s="48"/>
      <c r="C98" s="48"/>
      <c r="D98" s="48"/>
      <c r="E98" s="48"/>
      <c r="F98" s="48"/>
      <c r="G98" s="48"/>
      <c r="H98" s="48"/>
    </row>
    <row r="99" spans="1:8">
      <c r="A99" s="48"/>
      <c r="B99" s="48"/>
      <c r="C99" s="48"/>
      <c r="D99" s="48"/>
      <c r="E99" s="48"/>
      <c r="F99" s="48"/>
      <c r="G99" s="48"/>
      <c r="H99" s="48"/>
    </row>
    <row r="100" spans="1:8">
      <c r="A100" s="48"/>
      <c r="B100" s="48"/>
      <c r="C100" s="48"/>
      <c r="D100" s="48"/>
      <c r="E100" s="48"/>
      <c r="F100" s="48"/>
      <c r="G100" s="48"/>
      <c r="H100" s="48"/>
    </row>
    <row r="101" spans="1:8">
      <c r="A101" s="48"/>
      <c r="B101" s="48"/>
      <c r="C101" s="48"/>
      <c r="D101" s="48"/>
      <c r="E101" s="48"/>
      <c r="F101" s="48"/>
      <c r="G101" s="48"/>
      <c r="H101" s="48"/>
    </row>
    <row r="102" spans="1:8">
      <c r="A102" s="48"/>
      <c r="B102" s="48"/>
      <c r="C102" s="48"/>
      <c r="D102" s="48"/>
      <c r="E102" s="48"/>
      <c r="F102" s="48"/>
      <c r="G102" s="48"/>
      <c r="H102" s="48"/>
    </row>
    <row r="103" spans="1:8">
      <c r="A103" s="48"/>
      <c r="B103" s="48"/>
      <c r="C103" s="48"/>
      <c r="D103" s="48"/>
      <c r="E103" s="48"/>
      <c r="F103" s="48"/>
      <c r="G103" s="48"/>
      <c r="H103" s="48"/>
    </row>
    <row r="104" spans="1:8">
      <c r="A104" s="48"/>
      <c r="B104" s="48"/>
      <c r="C104" s="48"/>
      <c r="D104" s="48"/>
      <c r="E104" s="48"/>
      <c r="F104" s="48"/>
      <c r="G104" s="48"/>
      <c r="H104" s="48"/>
    </row>
    <row r="105" spans="1:8">
      <c r="A105" s="48"/>
      <c r="B105" s="48"/>
      <c r="C105" s="48"/>
      <c r="D105" s="48"/>
      <c r="E105" s="48"/>
      <c r="F105" s="48"/>
      <c r="G105" s="48"/>
      <c r="H105" s="48"/>
    </row>
    <row r="106" spans="1:8">
      <c r="A106" s="48"/>
      <c r="B106" s="48"/>
      <c r="C106" s="48"/>
      <c r="D106" s="48"/>
      <c r="E106" s="48"/>
      <c r="F106" s="48"/>
      <c r="G106" s="48"/>
      <c r="H106" s="48"/>
    </row>
    <row r="107" spans="1:8">
      <c r="A107" s="48"/>
      <c r="B107" s="48"/>
      <c r="C107" s="48"/>
      <c r="D107" s="48"/>
      <c r="E107" s="48"/>
      <c r="F107" s="48"/>
      <c r="G107" s="48"/>
      <c r="H107" s="48"/>
    </row>
    <row r="108" spans="1:8">
      <c r="A108" s="48"/>
      <c r="B108" s="48"/>
      <c r="C108" s="48"/>
      <c r="D108" s="48"/>
      <c r="E108" s="48"/>
      <c r="F108" s="48"/>
      <c r="G108" s="48"/>
      <c r="H108" s="48"/>
    </row>
    <row r="109" spans="1:8">
      <c r="A109" s="48"/>
      <c r="B109" s="48"/>
      <c r="C109" s="48"/>
      <c r="D109" s="48"/>
      <c r="E109" s="48"/>
      <c r="F109" s="48"/>
      <c r="G109" s="48"/>
      <c r="H109" s="48"/>
    </row>
    <row r="110" spans="1:8">
      <c r="A110" s="48"/>
      <c r="B110" s="48"/>
      <c r="C110" s="48"/>
      <c r="D110" s="48"/>
      <c r="E110" s="48"/>
      <c r="F110" s="48"/>
      <c r="G110" s="48"/>
      <c r="H110" s="48"/>
    </row>
    <row r="111" spans="1:8">
      <c r="A111" s="48"/>
      <c r="B111" s="48"/>
      <c r="C111" s="48"/>
      <c r="D111" s="48"/>
      <c r="E111" s="48"/>
      <c r="F111" s="48"/>
      <c r="G111" s="48"/>
      <c r="H111" s="48"/>
    </row>
    <row r="112" spans="1:8">
      <c r="A112" s="48"/>
      <c r="B112" s="48"/>
      <c r="C112" s="48"/>
      <c r="D112" s="48"/>
      <c r="E112" s="48"/>
      <c r="F112" s="48"/>
      <c r="G112" s="48"/>
      <c r="H112" s="48"/>
    </row>
    <row r="113" spans="1:8">
      <c r="A113" s="48"/>
      <c r="B113" s="48"/>
      <c r="C113" s="48"/>
      <c r="D113" s="48"/>
      <c r="E113" s="48"/>
      <c r="F113" s="48"/>
      <c r="G113" s="48"/>
      <c r="H113" s="48"/>
    </row>
    <row r="114" spans="1:8">
      <c r="A114" s="48"/>
      <c r="B114" s="48"/>
      <c r="C114" s="48"/>
      <c r="D114" s="48"/>
      <c r="E114" s="48"/>
      <c r="F114" s="48"/>
      <c r="G114" s="48"/>
      <c r="H114" s="48"/>
    </row>
    <row r="115" spans="1:8">
      <c r="A115" s="48"/>
      <c r="B115" s="48"/>
      <c r="C115" s="48"/>
      <c r="D115" s="48"/>
      <c r="E115" s="48"/>
      <c r="F115" s="48"/>
      <c r="G115" s="48"/>
      <c r="H115" s="48"/>
    </row>
    <row r="116" spans="1:8">
      <c r="A116" s="48"/>
      <c r="B116" s="48"/>
      <c r="C116" s="48"/>
      <c r="D116" s="48"/>
      <c r="E116" s="48"/>
      <c r="F116" s="48"/>
      <c r="G116" s="48"/>
      <c r="H116" s="48"/>
    </row>
    <row r="117" spans="1:8">
      <c r="A117" s="48"/>
      <c r="B117" s="48"/>
      <c r="C117" s="48"/>
      <c r="D117" s="48"/>
      <c r="E117" s="48"/>
      <c r="F117" s="48"/>
      <c r="G117" s="48"/>
      <c r="H117" s="48"/>
    </row>
    <row r="118" spans="1:8">
      <c r="A118" s="48"/>
      <c r="B118" s="48"/>
      <c r="C118" s="48"/>
      <c r="D118" s="48"/>
      <c r="E118" s="48"/>
      <c r="F118" s="48"/>
      <c r="G118" s="48"/>
      <c r="H118" s="48"/>
    </row>
    <row r="119" spans="1:8">
      <c r="A119" s="48"/>
      <c r="B119" s="48"/>
      <c r="C119" s="48"/>
      <c r="D119" s="48"/>
      <c r="E119" s="48"/>
      <c r="F119" s="48"/>
      <c r="G119" s="48"/>
      <c r="H119" s="48"/>
    </row>
    <row r="120" spans="1:8">
      <c r="A120" s="48"/>
      <c r="B120" s="48"/>
      <c r="C120" s="48"/>
      <c r="D120" s="48"/>
      <c r="E120" s="48"/>
      <c r="F120" s="48"/>
      <c r="G120" s="48"/>
      <c r="H120" s="48"/>
    </row>
    <row r="121" spans="1:8">
      <c r="A121" s="48"/>
      <c r="B121" s="48"/>
      <c r="C121" s="48"/>
      <c r="D121" s="48"/>
      <c r="E121" s="48"/>
      <c r="F121" s="48"/>
      <c r="G121" s="48"/>
      <c r="H121" s="48"/>
    </row>
    <row r="122" spans="1:8">
      <c r="A122" s="48"/>
      <c r="B122" s="48"/>
      <c r="C122" s="48"/>
      <c r="D122" s="48"/>
      <c r="E122" s="48"/>
      <c r="F122" s="48"/>
      <c r="G122" s="48"/>
      <c r="H122" s="48"/>
    </row>
    <row r="123" spans="1:8">
      <c r="A123" s="48"/>
      <c r="B123" s="48"/>
      <c r="C123" s="48"/>
      <c r="D123" s="48"/>
      <c r="E123" s="48"/>
      <c r="F123" s="48"/>
      <c r="G123" s="48"/>
      <c r="H123" s="48"/>
    </row>
    <row r="124" spans="1:8">
      <c r="A124" s="48"/>
      <c r="B124" s="48"/>
      <c r="C124" s="48"/>
      <c r="D124" s="48"/>
      <c r="E124" s="48"/>
      <c r="F124" s="48"/>
      <c r="G124" s="48"/>
      <c r="H124" s="48"/>
    </row>
    <row r="125" spans="1:8">
      <c r="A125" s="48"/>
      <c r="B125" s="48"/>
      <c r="C125" s="48"/>
      <c r="D125" s="48"/>
      <c r="E125" s="48"/>
      <c r="F125" s="48"/>
      <c r="G125" s="48"/>
      <c r="H125" s="48"/>
    </row>
    <row r="126" spans="1:8">
      <c r="A126" s="48"/>
      <c r="B126" s="48"/>
      <c r="C126" s="48"/>
      <c r="D126" s="48"/>
      <c r="E126" s="48"/>
      <c r="F126" s="48"/>
      <c r="G126" s="48"/>
      <c r="H126" s="48"/>
    </row>
    <row r="127" spans="1:8">
      <c r="A127" s="48"/>
      <c r="B127" s="48"/>
      <c r="C127" s="48"/>
      <c r="D127" s="48"/>
      <c r="E127" s="48"/>
      <c r="F127" s="48"/>
      <c r="G127" s="48"/>
      <c r="H127" s="48"/>
    </row>
    <row r="128" spans="1:8">
      <c r="A128" s="48"/>
      <c r="B128" s="48"/>
      <c r="C128" s="48"/>
      <c r="D128" s="48"/>
      <c r="E128" s="48"/>
      <c r="F128" s="48"/>
      <c r="G128" s="48"/>
      <c r="H128" s="48"/>
    </row>
    <row r="129" spans="1:8">
      <c r="A129" s="48"/>
      <c r="B129" s="48"/>
      <c r="C129" s="48"/>
      <c r="D129" s="48"/>
      <c r="E129" s="48"/>
      <c r="F129" s="48"/>
      <c r="G129" s="48"/>
      <c r="H129" s="48"/>
    </row>
    <row r="130" spans="1:8">
      <c r="A130" s="48"/>
      <c r="B130" s="48"/>
      <c r="C130" s="48"/>
      <c r="D130" s="48"/>
      <c r="E130" s="48"/>
      <c r="F130" s="48"/>
      <c r="G130" s="48"/>
      <c r="H130" s="48"/>
    </row>
    <row r="131" spans="1:8">
      <c r="A131" s="48"/>
      <c r="B131" s="48"/>
      <c r="C131" s="48"/>
      <c r="D131" s="48"/>
      <c r="E131" s="48"/>
      <c r="F131" s="48"/>
      <c r="G131" s="48"/>
      <c r="H131" s="48"/>
    </row>
    <row r="132" spans="1:8">
      <c r="A132" s="48"/>
      <c r="B132" s="48"/>
      <c r="C132" s="48"/>
      <c r="D132" s="48"/>
      <c r="E132" s="48"/>
      <c r="F132" s="48"/>
      <c r="G132" s="48"/>
      <c r="H132" s="48"/>
    </row>
    <row r="133" spans="1:8">
      <c r="A133" s="48"/>
      <c r="B133" s="48"/>
      <c r="C133" s="48"/>
      <c r="D133" s="48"/>
      <c r="E133" s="48"/>
      <c r="F133" s="48"/>
      <c r="G133" s="48"/>
      <c r="H133" s="48"/>
    </row>
    <row r="134" spans="1:8">
      <c r="A134" s="48"/>
      <c r="B134" s="48"/>
      <c r="C134" s="48"/>
      <c r="D134" s="48"/>
      <c r="E134" s="48"/>
      <c r="F134" s="48"/>
      <c r="G134" s="48"/>
      <c r="H134" s="48"/>
    </row>
    <row r="135" spans="1:8">
      <c r="A135" s="48"/>
      <c r="B135" s="48"/>
      <c r="C135" s="48"/>
      <c r="D135" s="48"/>
      <c r="E135" s="48"/>
      <c r="F135" s="48"/>
      <c r="G135" s="48"/>
      <c r="H135" s="48"/>
    </row>
    <row r="136" spans="1:8">
      <c r="A136" s="48"/>
      <c r="B136" s="48"/>
      <c r="C136" s="48"/>
      <c r="D136" s="48"/>
      <c r="E136" s="48"/>
      <c r="F136" s="48"/>
      <c r="G136" s="48"/>
      <c r="H136" s="48"/>
    </row>
    <row r="137" spans="1:8">
      <c r="A137" s="48"/>
      <c r="B137" s="48"/>
      <c r="C137" s="48"/>
      <c r="D137" s="48"/>
      <c r="E137" s="48"/>
      <c r="F137" s="48"/>
      <c r="G137" s="48"/>
      <c r="H137" s="48"/>
    </row>
    <row r="138" spans="1:8">
      <c r="A138" s="48"/>
      <c r="B138" s="48"/>
      <c r="C138" s="48"/>
      <c r="D138" s="48"/>
      <c r="E138" s="48"/>
      <c r="F138" s="48"/>
      <c r="G138" s="48"/>
      <c r="H138" s="48"/>
    </row>
    <row r="139" spans="1:8">
      <c r="A139" s="48"/>
      <c r="B139" s="48"/>
      <c r="C139" s="48"/>
      <c r="D139" s="48"/>
      <c r="E139" s="48"/>
      <c r="F139" s="48"/>
      <c r="G139" s="48"/>
      <c r="H139" s="48"/>
    </row>
    <row r="140" spans="1:8">
      <c r="A140" s="48"/>
      <c r="B140" s="48"/>
      <c r="C140" s="48"/>
      <c r="D140" s="48"/>
      <c r="E140" s="48"/>
      <c r="F140" s="48"/>
      <c r="G140" s="48"/>
      <c r="H140" s="48"/>
    </row>
    <row r="141" spans="1:8">
      <c r="A141" s="48"/>
      <c r="B141" s="48"/>
      <c r="C141" s="48"/>
      <c r="D141" s="48"/>
      <c r="E141" s="48"/>
      <c r="F141" s="48"/>
      <c r="G141" s="48"/>
      <c r="H141" s="48"/>
    </row>
    <row r="142" spans="1:8">
      <c r="A142" s="48"/>
      <c r="B142" s="48"/>
      <c r="C142" s="48"/>
      <c r="D142" s="48"/>
      <c r="E142" s="48"/>
      <c r="F142" s="48"/>
      <c r="G142" s="48"/>
      <c r="H142" s="48"/>
    </row>
    <row r="143" spans="1:8">
      <c r="A143" s="48"/>
      <c r="B143" s="48"/>
      <c r="C143" s="48"/>
      <c r="D143" s="48"/>
      <c r="E143" s="48"/>
      <c r="F143" s="48"/>
      <c r="G143" s="48"/>
      <c r="H143" s="48"/>
    </row>
    <row r="144" spans="1:8">
      <c r="A144" s="48"/>
      <c r="B144" s="48"/>
      <c r="C144" s="48"/>
      <c r="D144" s="48"/>
      <c r="E144" s="48"/>
      <c r="F144" s="48"/>
      <c r="G144" s="48"/>
      <c r="H144" s="48"/>
    </row>
    <row r="145" spans="1:8">
      <c r="A145" s="48"/>
      <c r="B145" s="48"/>
      <c r="C145" s="48"/>
      <c r="D145" s="48"/>
      <c r="E145" s="48"/>
      <c r="F145" s="48"/>
      <c r="G145" s="48"/>
      <c r="H145" s="48"/>
    </row>
    <row r="146" spans="1:8">
      <c r="A146" s="48"/>
      <c r="B146" s="48"/>
      <c r="C146" s="48"/>
      <c r="D146" s="48"/>
      <c r="E146" s="48"/>
      <c r="F146" s="48"/>
      <c r="G146" s="48"/>
      <c r="H146" s="48"/>
    </row>
    <row r="147" spans="1:8">
      <c r="A147" s="48"/>
      <c r="B147" s="48"/>
      <c r="C147" s="48"/>
      <c r="D147" s="48"/>
      <c r="E147" s="48"/>
      <c r="F147" s="48"/>
      <c r="G147" s="48"/>
      <c r="H147" s="48"/>
    </row>
    <row r="148" spans="1:8">
      <c r="A148" s="48"/>
      <c r="B148" s="48"/>
      <c r="C148" s="48"/>
      <c r="D148" s="48"/>
      <c r="E148" s="48"/>
      <c r="F148" s="48"/>
      <c r="G148" s="48"/>
      <c r="H148" s="48"/>
    </row>
    <row r="149" spans="1:8">
      <c r="A149" s="48"/>
      <c r="B149" s="48"/>
      <c r="C149" s="48"/>
      <c r="D149" s="48"/>
      <c r="E149" s="48"/>
      <c r="F149" s="48"/>
      <c r="G149" s="48"/>
      <c r="H149" s="48"/>
    </row>
    <row r="150" spans="1:8">
      <c r="A150" s="48"/>
      <c r="B150" s="48"/>
      <c r="C150" s="48"/>
      <c r="D150" s="48"/>
      <c r="E150" s="48"/>
      <c r="F150" s="48"/>
      <c r="G150" s="48"/>
      <c r="H150" s="48"/>
    </row>
    <row r="151" spans="1:8">
      <c r="A151" s="48"/>
      <c r="B151" s="48"/>
      <c r="C151" s="48"/>
      <c r="D151" s="48"/>
      <c r="E151" s="48"/>
      <c r="F151" s="48"/>
      <c r="G151" s="48"/>
      <c r="H151" s="48"/>
    </row>
    <row r="152" spans="1:8">
      <c r="A152" s="48"/>
      <c r="B152" s="48"/>
      <c r="C152" s="48"/>
      <c r="D152" s="48"/>
      <c r="E152" s="48"/>
      <c r="F152" s="48"/>
      <c r="G152" s="48"/>
      <c r="H152" s="48"/>
    </row>
    <row r="153" spans="1:8">
      <c r="A153" s="48"/>
      <c r="B153" s="48"/>
      <c r="C153" s="48"/>
      <c r="D153" s="48"/>
      <c r="E153" s="48"/>
      <c r="F153" s="48"/>
      <c r="G153" s="48"/>
      <c r="H153" s="48"/>
    </row>
    <row r="154" spans="1:8">
      <c r="A154" s="48"/>
      <c r="B154" s="48"/>
      <c r="C154" s="48"/>
      <c r="D154" s="48"/>
      <c r="E154" s="48"/>
      <c r="F154" s="48"/>
      <c r="G154" s="48"/>
      <c r="H154" s="48"/>
    </row>
    <row r="155" spans="1:8">
      <c r="A155" s="48"/>
      <c r="B155" s="48"/>
      <c r="C155" s="48"/>
      <c r="D155" s="48"/>
      <c r="E155" s="48"/>
      <c r="F155" s="48"/>
      <c r="G155" s="48"/>
      <c r="H155" s="48"/>
    </row>
    <row r="156" spans="1:8">
      <c r="A156" s="48"/>
      <c r="B156" s="48"/>
      <c r="C156" s="48"/>
      <c r="D156" s="48"/>
      <c r="E156" s="48"/>
      <c r="F156" s="48"/>
      <c r="G156" s="48"/>
      <c r="H156" s="48"/>
    </row>
    <row r="157" spans="1:8">
      <c r="A157" s="48"/>
      <c r="B157" s="48"/>
      <c r="C157" s="48"/>
      <c r="D157" s="48"/>
      <c r="E157" s="48"/>
      <c r="F157" s="48"/>
      <c r="G157" s="48"/>
      <c r="H157" s="48"/>
    </row>
    <row r="158" spans="1:8">
      <c r="A158" s="48"/>
      <c r="B158" s="48"/>
      <c r="C158" s="48"/>
      <c r="D158" s="48"/>
      <c r="E158" s="48"/>
      <c r="F158" s="48"/>
      <c r="G158" s="48"/>
      <c r="H158" s="48"/>
    </row>
    <row r="159" spans="1:8">
      <c r="A159" s="48"/>
      <c r="B159" s="48"/>
      <c r="C159" s="48"/>
      <c r="D159" s="48"/>
      <c r="E159" s="48"/>
      <c r="F159" s="48"/>
      <c r="G159" s="48"/>
      <c r="H159" s="48"/>
    </row>
    <row r="160" spans="1:8">
      <c r="A160" s="48"/>
      <c r="B160" s="48"/>
      <c r="C160" s="48"/>
      <c r="D160" s="48"/>
      <c r="E160" s="48"/>
      <c r="F160" s="48"/>
      <c r="G160" s="48"/>
      <c r="H160" s="48"/>
    </row>
    <row r="161" spans="1:8">
      <c r="A161" s="48"/>
      <c r="B161" s="48"/>
      <c r="C161" s="48"/>
      <c r="D161" s="48"/>
      <c r="E161" s="48"/>
      <c r="F161" s="48"/>
      <c r="G161" s="48"/>
      <c r="H161" s="48"/>
    </row>
    <row r="162" spans="1:8">
      <c r="A162" s="48"/>
      <c r="B162" s="48"/>
      <c r="C162" s="48"/>
      <c r="D162" s="48"/>
      <c r="E162" s="48"/>
      <c r="F162" s="48"/>
      <c r="G162" s="48"/>
      <c r="H162" s="48"/>
    </row>
    <row r="163" spans="1:8">
      <c r="A163" s="48"/>
      <c r="B163" s="48"/>
      <c r="C163" s="48"/>
      <c r="D163" s="48"/>
      <c r="E163" s="48"/>
      <c r="F163" s="48"/>
      <c r="G163" s="48"/>
      <c r="H163" s="48"/>
    </row>
    <row r="164" spans="1:8">
      <c r="A164" s="48"/>
      <c r="B164" s="48"/>
      <c r="C164" s="48"/>
      <c r="D164" s="48"/>
      <c r="E164" s="48"/>
      <c r="F164" s="48"/>
      <c r="G164" s="48"/>
      <c r="H164" s="48"/>
    </row>
    <row r="165" spans="1:8">
      <c r="A165" s="48"/>
      <c r="B165" s="48"/>
      <c r="C165" s="48"/>
      <c r="D165" s="48"/>
      <c r="E165" s="48"/>
      <c r="F165" s="48"/>
      <c r="G165" s="48"/>
      <c r="H165" s="48"/>
    </row>
    <row r="166" spans="1:8">
      <c r="A166" s="48"/>
      <c r="B166" s="48"/>
      <c r="C166" s="48"/>
      <c r="D166" s="48"/>
      <c r="E166" s="48"/>
      <c r="F166" s="48"/>
      <c r="G166" s="48"/>
      <c r="H166" s="48"/>
    </row>
    <row r="167" spans="1:8">
      <c r="A167" s="48"/>
      <c r="B167" s="48"/>
      <c r="C167" s="48"/>
      <c r="D167" s="48"/>
      <c r="E167" s="48"/>
      <c r="F167" s="48"/>
      <c r="G167" s="48"/>
      <c r="H167" s="48"/>
    </row>
    <row r="168" spans="1:8">
      <c r="A168" s="48"/>
      <c r="B168" s="48"/>
      <c r="C168" s="48"/>
      <c r="D168" s="48"/>
      <c r="E168" s="48"/>
      <c r="F168" s="48"/>
      <c r="G168" s="48"/>
      <c r="H168" s="48"/>
    </row>
    <row r="169" spans="1:8">
      <c r="A169" s="48"/>
      <c r="B169" s="48"/>
      <c r="C169" s="48"/>
      <c r="D169" s="48"/>
      <c r="E169" s="48"/>
      <c r="F169" s="48"/>
      <c r="G169" s="48"/>
      <c r="H169" s="48"/>
    </row>
    <row r="170" spans="1:8">
      <c r="A170" s="48"/>
      <c r="B170" s="48"/>
      <c r="C170" s="48"/>
      <c r="D170" s="48"/>
      <c r="E170" s="48"/>
      <c r="F170" s="48"/>
      <c r="G170" s="48"/>
      <c r="H170" s="48"/>
    </row>
    <row r="171" spans="1:8">
      <c r="A171" s="48"/>
      <c r="B171" s="48"/>
      <c r="C171" s="48"/>
      <c r="D171" s="48"/>
      <c r="E171" s="48"/>
      <c r="F171" s="48"/>
      <c r="G171" s="48"/>
      <c r="H171" s="48"/>
    </row>
    <row r="172" spans="1:8">
      <c r="A172" s="48"/>
      <c r="B172" s="48"/>
      <c r="C172" s="48"/>
      <c r="D172" s="48"/>
      <c r="E172" s="48"/>
      <c r="F172" s="48"/>
      <c r="G172" s="48"/>
      <c r="H172" s="48"/>
    </row>
    <row r="173" spans="1:8">
      <c r="A173" s="48"/>
      <c r="B173" s="48"/>
      <c r="C173" s="48"/>
      <c r="D173" s="48"/>
      <c r="E173" s="48"/>
      <c r="F173" s="48"/>
      <c r="G173" s="48"/>
      <c r="H173" s="48"/>
    </row>
  </sheetData>
  <mergeCells count="22">
    <mergeCell ref="F1:H1"/>
    <mergeCell ref="F2:H2"/>
    <mergeCell ref="F3:H3"/>
    <mergeCell ref="H13:H14"/>
    <mergeCell ref="F12:H12"/>
    <mergeCell ref="A9:H9"/>
    <mergeCell ref="A48:H48"/>
    <mergeCell ref="C35:C36"/>
    <mergeCell ref="A35:A36"/>
    <mergeCell ref="F13:G13"/>
    <mergeCell ref="B11:B14"/>
    <mergeCell ref="A11:A14"/>
    <mergeCell ref="C11:C14"/>
    <mergeCell ref="E35:E36"/>
    <mergeCell ref="F35:F36"/>
    <mergeCell ref="B35:B36"/>
    <mergeCell ref="D35:D36"/>
    <mergeCell ref="D11:D14"/>
    <mergeCell ref="E11:H11"/>
    <mergeCell ref="G35:G36"/>
    <mergeCell ref="H35:H36"/>
    <mergeCell ref="E12:E14"/>
  </mergeCells>
  <phoneticPr fontId="5" type="noConversion"/>
  <pageMargins left="0.78740157480314965" right="0.39370078740157483" top="0.39370078740157483" bottom="0.19685039370078741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4"/>
  <sheetViews>
    <sheetView zoomScale="135" zoomScaleNormal="135" workbookViewId="0">
      <selection activeCell="F12" sqref="F12:F14"/>
    </sheetView>
  </sheetViews>
  <sheetFormatPr defaultRowHeight="12.75"/>
  <cols>
    <col min="1" max="1" width="3.7109375" customWidth="1"/>
    <col min="2" max="2" width="7.28515625" customWidth="1"/>
    <col min="3" max="3" width="30" customWidth="1"/>
    <col min="4" max="4" width="9.5703125" customWidth="1"/>
    <col min="5" max="5" width="9.140625" customWidth="1"/>
    <col min="6" max="6" width="8.28515625" customWidth="1"/>
    <col min="7" max="7" width="8" customWidth="1"/>
    <col min="8" max="8" width="7.7109375" customWidth="1"/>
    <col min="9" max="10" width="6.7109375" customWidth="1"/>
  </cols>
  <sheetData>
    <row r="1" spans="1:10" ht="15.75">
      <c r="A1" s="1"/>
      <c r="B1" s="1"/>
      <c r="C1" s="147"/>
      <c r="D1" s="147"/>
      <c r="E1" s="147"/>
      <c r="F1" s="147"/>
      <c r="G1" s="256" t="s">
        <v>7</v>
      </c>
      <c r="H1" s="256"/>
      <c r="I1" s="256"/>
      <c r="J1" s="256"/>
    </row>
    <row r="2" spans="1:10" ht="15.75">
      <c r="A2" s="1"/>
      <c r="B2" s="1"/>
      <c r="C2" s="147"/>
      <c r="D2" s="147"/>
      <c r="E2" s="147"/>
      <c r="F2" s="147"/>
      <c r="G2" s="256" t="s">
        <v>344</v>
      </c>
      <c r="H2" s="256"/>
      <c r="I2" s="256"/>
      <c r="J2" s="256"/>
    </row>
    <row r="3" spans="1:10" ht="15.75">
      <c r="A3" s="1"/>
      <c r="B3" s="1"/>
      <c r="C3" s="148"/>
      <c r="D3" s="148"/>
      <c r="E3" s="148"/>
      <c r="F3" s="148"/>
      <c r="G3" s="256" t="s">
        <v>345</v>
      </c>
      <c r="H3" s="256"/>
      <c r="I3" s="256"/>
      <c r="J3" s="256"/>
    </row>
    <row r="4" spans="1:10" ht="15.75">
      <c r="A4" s="1"/>
      <c r="B4" s="1"/>
      <c r="C4" s="148"/>
      <c r="D4" s="148"/>
      <c r="E4" s="148"/>
      <c r="F4" s="148"/>
      <c r="G4" s="256" t="s">
        <v>193</v>
      </c>
      <c r="H4" s="256"/>
      <c r="I4" s="256"/>
      <c r="J4" s="256"/>
    </row>
    <row r="5" spans="1:10" ht="15.75">
      <c r="A5" s="1"/>
      <c r="B5" s="1"/>
      <c r="C5" s="148"/>
      <c r="D5" s="148"/>
      <c r="E5" s="148"/>
      <c r="F5" s="148"/>
      <c r="G5" s="17" t="s">
        <v>346</v>
      </c>
      <c r="H5" s="17"/>
      <c r="I5" s="17"/>
      <c r="J5" s="199"/>
    </row>
    <row r="6" spans="1:10" ht="15.75">
      <c r="A6" s="1"/>
      <c r="B6" s="1"/>
      <c r="C6" s="148"/>
      <c r="D6" s="148"/>
      <c r="E6" s="148"/>
      <c r="F6" s="148"/>
      <c r="G6" s="17" t="s">
        <v>472</v>
      </c>
      <c r="H6" s="17"/>
      <c r="I6" s="17"/>
      <c r="J6" s="199"/>
    </row>
    <row r="7" spans="1:10" ht="15.75">
      <c r="A7" s="1"/>
      <c r="B7" s="1"/>
      <c r="C7" s="148"/>
      <c r="D7" s="148"/>
      <c r="E7" s="148"/>
      <c r="F7" s="148"/>
      <c r="G7" s="17" t="s">
        <v>388</v>
      </c>
      <c r="H7" s="17"/>
      <c r="I7" s="17"/>
      <c r="J7" s="199"/>
    </row>
    <row r="8" spans="1:10">
      <c r="A8" s="1"/>
      <c r="B8" s="1"/>
      <c r="C8" s="1"/>
      <c r="D8" s="1"/>
      <c r="E8" s="1"/>
      <c r="F8" s="1"/>
      <c r="G8" s="146"/>
      <c r="H8" s="146"/>
      <c r="I8" s="146"/>
      <c r="J8" s="146"/>
    </row>
    <row r="9" spans="1:10">
      <c r="A9" s="280" t="s">
        <v>399</v>
      </c>
      <c r="B9" s="280"/>
      <c r="C9" s="280"/>
      <c r="D9" s="280"/>
      <c r="E9" s="280"/>
      <c r="F9" s="280"/>
      <c r="G9" s="280"/>
      <c r="H9" s="280"/>
      <c r="I9" s="280"/>
      <c r="J9" s="149"/>
    </row>
    <row r="10" spans="1:10">
      <c r="A10" s="1"/>
      <c r="B10" s="278"/>
      <c r="C10" s="278"/>
      <c r="D10" s="278"/>
      <c r="E10" s="278"/>
      <c r="F10" s="278"/>
      <c r="G10" s="278"/>
      <c r="H10" s="278"/>
      <c r="I10" s="278"/>
      <c r="J10" s="146"/>
    </row>
    <row r="11" spans="1:10">
      <c r="A11" s="1"/>
      <c r="B11" s="1"/>
      <c r="C11" s="1"/>
      <c r="D11" s="1"/>
      <c r="E11" s="1"/>
      <c r="F11" s="1"/>
      <c r="G11" s="146"/>
      <c r="H11" s="146"/>
      <c r="I11" s="277" t="s">
        <v>389</v>
      </c>
      <c r="J11" s="277"/>
    </row>
    <row r="12" spans="1:10" ht="12.75" customHeight="1">
      <c r="A12" s="281" t="s">
        <v>123</v>
      </c>
      <c r="B12" s="281" t="s">
        <v>197</v>
      </c>
      <c r="C12" s="281" t="s">
        <v>51</v>
      </c>
      <c r="D12" s="282" t="s">
        <v>185</v>
      </c>
      <c r="E12" s="237" t="s">
        <v>198</v>
      </c>
      <c r="F12" s="237" t="s">
        <v>186</v>
      </c>
      <c r="G12" s="237" t="s">
        <v>3</v>
      </c>
      <c r="H12" s="244" t="s">
        <v>4</v>
      </c>
      <c r="I12" s="245"/>
      <c r="J12" s="246"/>
    </row>
    <row r="13" spans="1:10" ht="12.75" customHeight="1">
      <c r="A13" s="281"/>
      <c r="B13" s="281"/>
      <c r="C13" s="281"/>
      <c r="D13" s="283"/>
      <c r="E13" s="238"/>
      <c r="F13" s="238"/>
      <c r="G13" s="238"/>
      <c r="H13" s="244" t="s">
        <v>176</v>
      </c>
      <c r="I13" s="246"/>
      <c r="J13" s="237" t="s">
        <v>199</v>
      </c>
    </row>
    <row r="14" spans="1:10" ht="63.75" customHeight="1">
      <c r="A14" s="281"/>
      <c r="B14" s="281"/>
      <c r="C14" s="281"/>
      <c r="D14" s="284"/>
      <c r="E14" s="239"/>
      <c r="F14" s="239"/>
      <c r="G14" s="239"/>
      <c r="H14" s="169" t="s">
        <v>177</v>
      </c>
      <c r="I14" s="170" t="s">
        <v>200</v>
      </c>
      <c r="J14" s="239"/>
    </row>
    <row r="15" spans="1:10">
      <c r="A15" s="129">
        <v>1</v>
      </c>
      <c r="B15" s="129">
        <v>2</v>
      </c>
      <c r="C15" s="129">
        <v>3</v>
      </c>
      <c r="D15" s="129">
        <v>4</v>
      </c>
      <c r="E15" s="129">
        <v>5</v>
      </c>
      <c r="F15" s="129">
        <v>6</v>
      </c>
      <c r="G15" s="129">
        <v>7</v>
      </c>
      <c r="H15" s="129">
        <v>8</v>
      </c>
      <c r="I15" s="129">
        <v>9</v>
      </c>
      <c r="J15" s="129">
        <v>10</v>
      </c>
    </row>
    <row r="16" spans="1:10" ht="25.5">
      <c r="A16" s="68" t="s">
        <v>124</v>
      </c>
      <c r="B16" s="152" t="s">
        <v>10</v>
      </c>
      <c r="C16" s="153" t="s">
        <v>11</v>
      </c>
      <c r="D16" s="154">
        <f>SUM(D17:D37)</f>
        <v>182200</v>
      </c>
      <c r="E16" s="154">
        <f t="shared" ref="E16:J16" si="0">SUM(E17:E37)</f>
        <v>66500</v>
      </c>
      <c r="F16" s="154">
        <f t="shared" si="0"/>
        <v>23100</v>
      </c>
      <c r="G16" s="154">
        <f t="shared" si="0"/>
        <v>271800</v>
      </c>
      <c r="H16" s="154">
        <f t="shared" si="0"/>
        <v>271800</v>
      </c>
      <c r="I16" s="154">
        <f t="shared" si="0"/>
        <v>29100</v>
      </c>
      <c r="J16" s="154">
        <f t="shared" si="0"/>
        <v>0</v>
      </c>
    </row>
    <row r="17" spans="1:10">
      <c r="A17" s="68" t="s">
        <v>126</v>
      </c>
      <c r="B17" s="155" t="s">
        <v>30</v>
      </c>
      <c r="C17" s="156" t="s">
        <v>12</v>
      </c>
      <c r="D17" s="150"/>
      <c r="E17" s="150">
        <v>1500</v>
      </c>
      <c r="F17" s="150">
        <v>3300</v>
      </c>
      <c r="G17" s="157">
        <f t="shared" ref="G17:G42" si="1">SUM(D17:F17)</f>
        <v>4800</v>
      </c>
      <c r="H17" s="157">
        <f t="shared" ref="H17:H42" si="2">G17-J17</f>
        <v>4800</v>
      </c>
      <c r="I17" s="157"/>
      <c r="J17" s="157"/>
    </row>
    <row r="18" spans="1:10">
      <c r="A18" s="68" t="s">
        <v>127</v>
      </c>
      <c r="B18" s="155" t="s">
        <v>31</v>
      </c>
      <c r="C18" s="156" t="s">
        <v>325</v>
      </c>
      <c r="D18" s="150">
        <f>6000+900</f>
        <v>6900</v>
      </c>
      <c r="E18" s="150">
        <f>500+500</f>
        <v>1000</v>
      </c>
      <c r="F18" s="150">
        <v>2700</v>
      </c>
      <c r="G18" s="157">
        <f t="shared" si="1"/>
        <v>10600</v>
      </c>
      <c r="H18" s="157">
        <f t="shared" si="2"/>
        <v>10600</v>
      </c>
      <c r="I18" s="157"/>
      <c r="J18" s="157"/>
    </row>
    <row r="19" spans="1:10">
      <c r="A19" s="40" t="s">
        <v>128</v>
      </c>
      <c r="B19" s="158" t="s">
        <v>32</v>
      </c>
      <c r="C19" s="156" t="s">
        <v>360</v>
      </c>
      <c r="D19" s="150">
        <f>9500-2000</f>
        <v>7500</v>
      </c>
      <c r="E19" s="150"/>
      <c r="F19" s="150">
        <v>400</v>
      </c>
      <c r="G19" s="157">
        <f t="shared" si="1"/>
        <v>7900</v>
      </c>
      <c r="H19" s="157">
        <f t="shared" si="2"/>
        <v>7900</v>
      </c>
      <c r="I19" s="157"/>
      <c r="J19" s="157"/>
    </row>
    <row r="20" spans="1:10" ht="25.5">
      <c r="A20" s="40" t="s">
        <v>129</v>
      </c>
      <c r="B20" s="158" t="s">
        <v>33</v>
      </c>
      <c r="C20" s="156" t="s">
        <v>326</v>
      </c>
      <c r="D20" s="150">
        <f>10900-1200</f>
        <v>9700</v>
      </c>
      <c r="E20" s="150"/>
      <c r="F20" s="150">
        <f>1900-600</f>
        <v>1300</v>
      </c>
      <c r="G20" s="157">
        <f>SUM(D20:F20)</f>
        <v>11000</v>
      </c>
      <c r="H20" s="157">
        <f t="shared" si="2"/>
        <v>11000</v>
      </c>
      <c r="I20" s="157"/>
      <c r="J20" s="157"/>
    </row>
    <row r="21" spans="1:10">
      <c r="A21" s="40" t="s">
        <v>130</v>
      </c>
      <c r="B21" s="158" t="s">
        <v>34</v>
      </c>
      <c r="C21" s="156" t="s">
        <v>361</v>
      </c>
      <c r="D21" s="151">
        <v>4500</v>
      </c>
      <c r="E21" s="151">
        <f>2300+300</f>
        <v>2600</v>
      </c>
      <c r="F21" s="151">
        <v>1800</v>
      </c>
      <c r="G21" s="157">
        <f t="shared" si="1"/>
        <v>8900</v>
      </c>
      <c r="H21" s="157">
        <f t="shared" si="2"/>
        <v>8900</v>
      </c>
      <c r="I21" s="157">
        <v>3100</v>
      </c>
      <c r="J21" s="157"/>
    </row>
    <row r="22" spans="1:10" ht="25.5">
      <c r="A22" s="40" t="s">
        <v>131</v>
      </c>
      <c r="B22" s="158" t="s">
        <v>35</v>
      </c>
      <c r="C22" s="156" t="s">
        <v>362</v>
      </c>
      <c r="D22" s="150"/>
      <c r="E22" s="150">
        <f>8400-5400</f>
        <v>3000</v>
      </c>
      <c r="F22" s="150">
        <f>2800+200</f>
        <v>3000</v>
      </c>
      <c r="G22" s="157">
        <f t="shared" si="1"/>
        <v>6000</v>
      </c>
      <c r="H22" s="157">
        <f t="shared" si="2"/>
        <v>6000</v>
      </c>
      <c r="I22" s="157"/>
      <c r="J22" s="157"/>
    </row>
    <row r="23" spans="1:10" ht="25.5" customHeight="1">
      <c r="A23" s="40" t="s">
        <v>132</v>
      </c>
      <c r="B23" s="158" t="s">
        <v>36</v>
      </c>
      <c r="C23" s="156" t="s">
        <v>13</v>
      </c>
      <c r="D23" s="150">
        <v>4400</v>
      </c>
      <c r="E23" s="150"/>
      <c r="F23" s="150">
        <v>700</v>
      </c>
      <c r="G23" s="157">
        <f t="shared" si="1"/>
        <v>5100</v>
      </c>
      <c r="H23" s="157">
        <f t="shared" si="2"/>
        <v>5100</v>
      </c>
      <c r="I23" s="157"/>
      <c r="J23" s="157"/>
    </row>
    <row r="24" spans="1:10">
      <c r="A24" s="40" t="s">
        <v>133</v>
      </c>
      <c r="B24" s="158" t="s">
        <v>37</v>
      </c>
      <c r="C24" s="156" t="s">
        <v>14</v>
      </c>
      <c r="D24" s="150">
        <f>8000+300</f>
        <v>8300</v>
      </c>
      <c r="E24" s="150">
        <v>200</v>
      </c>
      <c r="F24" s="150">
        <f>2800+200</f>
        <v>3000</v>
      </c>
      <c r="G24" s="157">
        <f t="shared" si="1"/>
        <v>11500</v>
      </c>
      <c r="H24" s="157">
        <f t="shared" si="2"/>
        <v>11500</v>
      </c>
      <c r="I24" s="157"/>
      <c r="J24" s="157"/>
    </row>
    <row r="25" spans="1:10" ht="25.5">
      <c r="A25" s="40" t="s">
        <v>134</v>
      </c>
      <c r="B25" s="158" t="s">
        <v>38</v>
      </c>
      <c r="C25" s="156" t="s">
        <v>327</v>
      </c>
      <c r="D25" s="151">
        <v>500</v>
      </c>
      <c r="E25" s="151"/>
      <c r="F25" s="151">
        <v>100</v>
      </c>
      <c r="G25" s="157">
        <f t="shared" si="1"/>
        <v>600</v>
      </c>
      <c r="H25" s="157">
        <f t="shared" si="2"/>
        <v>600</v>
      </c>
      <c r="I25" s="157"/>
      <c r="J25" s="157"/>
    </row>
    <row r="26" spans="1:10" ht="25.5">
      <c r="A26" s="40" t="s">
        <v>135</v>
      </c>
      <c r="B26" s="158" t="s">
        <v>39</v>
      </c>
      <c r="C26" s="156" t="s">
        <v>328</v>
      </c>
      <c r="D26" s="151">
        <f>4700+400</f>
        <v>5100</v>
      </c>
      <c r="E26" s="151"/>
      <c r="F26" s="151">
        <f>300+100</f>
        <v>400</v>
      </c>
      <c r="G26" s="157">
        <f t="shared" si="1"/>
        <v>5500</v>
      </c>
      <c r="H26" s="157">
        <f t="shared" si="2"/>
        <v>5500</v>
      </c>
      <c r="I26" s="157"/>
      <c r="J26" s="157"/>
    </row>
    <row r="27" spans="1:10" ht="25.5">
      <c r="A27" s="40" t="s">
        <v>136</v>
      </c>
      <c r="B27" s="158" t="s">
        <v>40</v>
      </c>
      <c r="C27" s="156" t="s">
        <v>329</v>
      </c>
      <c r="D27" s="151">
        <f>5000+1900</f>
        <v>6900</v>
      </c>
      <c r="E27" s="151"/>
      <c r="F27" s="151">
        <v>300</v>
      </c>
      <c r="G27" s="157">
        <f t="shared" si="1"/>
        <v>7200</v>
      </c>
      <c r="H27" s="157">
        <f t="shared" si="2"/>
        <v>7200</v>
      </c>
      <c r="I27" s="157"/>
      <c r="J27" s="157"/>
    </row>
    <row r="28" spans="1:10" ht="12.75" customHeight="1">
      <c r="A28" s="40" t="s">
        <v>137</v>
      </c>
      <c r="B28" s="158" t="s">
        <v>41</v>
      </c>
      <c r="C28" s="156" t="s">
        <v>363</v>
      </c>
      <c r="D28" s="151"/>
      <c r="E28" s="151"/>
      <c r="F28" s="151">
        <v>400</v>
      </c>
      <c r="G28" s="157">
        <f t="shared" si="1"/>
        <v>400</v>
      </c>
      <c r="H28" s="157">
        <f t="shared" si="2"/>
        <v>400</v>
      </c>
      <c r="I28" s="150"/>
      <c r="J28" s="150"/>
    </row>
    <row r="29" spans="1:10" ht="12.75" customHeight="1">
      <c r="A29" s="40" t="s">
        <v>138</v>
      </c>
      <c r="B29" s="158" t="s">
        <v>42</v>
      </c>
      <c r="C29" s="156" t="s">
        <v>15</v>
      </c>
      <c r="D29" s="150">
        <f>30000+1500</f>
        <v>31500</v>
      </c>
      <c r="E29" s="150"/>
      <c r="F29" s="150">
        <v>500</v>
      </c>
      <c r="G29" s="157">
        <f t="shared" si="1"/>
        <v>32000</v>
      </c>
      <c r="H29" s="157">
        <f t="shared" si="2"/>
        <v>32000</v>
      </c>
      <c r="I29" s="150"/>
      <c r="J29" s="150"/>
    </row>
    <row r="30" spans="1:10">
      <c r="A30" s="68" t="s">
        <v>139</v>
      </c>
      <c r="B30" s="155" t="s">
        <v>43</v>
      </c>
      <c r="C30" s="156" t="s">
        <v>16</v>
      </c>
      <c r="D30" s="150">
        <f>33800+1100</f>
        <v>34900</v>
      </c>
      <c r="E30" s="150"/>
      <c r="F30" s="150">
        <f>1700+400</f>
        <v>2100</v>
      </c>
      <c r="G30" s="157">
        <f t="shared" si="1"/>
        <v>37000</v>
      </c>
      <c r="H30" s="157">
        <f t="shared" si="2"/>
        <v>37000</v>
      </c>
      <c r="I30" s="150"/>
      <c r="J30" s="150"/>
    </row>
    <row r="31" spans="1:10">
      <c r="A31" s="68" t="s">
        <v>140</v>
      </c>
      <c r="B31" s="155" t="s">
        <v>44</v>
      </c>
      <c r="C31" s="156" t="s">
        <v>171</v>
      </c>
      <c r="D31" s="150">
        <v>24000</v>
      </c>
      <c r="E31" s="150"/>
      <c r="F31" s="150">
        <f>2400+600</f>
        <v>3000</v>
      </c>
      <c r="G31" s="157">
        <f t="shared" si="1"/>
        <v>27000</v>
      </c>
      <c r="H31" s="157">
        <f t="shared" si="2"/>
        <v>27000</v>
      </c>
      <c r="I31" s="124"/>
      <c r="J31" s="124"/>
    </row>
    <row r="32" spans="1:10">
      <c r="A32" s="40" t="s">
        <v>141</v>
      </c>
      <c r="B32" s="158" t="s">
        <v>45</v>
      </c>
      <c r="C32" s="156" t="s">
        <v>330</v>
      </c>
      <c r="D32" s="150">
        <f>4600+800</f>
        <v>5400</v>
      </c>
      <c r="E32" s="150"/>
      <c r="F32" s="150"/>
      <c r="G32" s="157">
        <f t="shared" si="1"/>
        <v>5400</v>
      </c>
      <c r="H32" s="157">
        <f t="shared" si="2"/>
        <v>5400</v>
      </c>
      <c r="I32" s="124">
        <f>3500+600</f>
        <v>4100</v>
      </c>
      <c r="J32" s="124"/>
    </row>
    <row r="33" spans="1:10">
      <c r="A33" s="68" t="s">
        <v>142</v>
      </c>
      <c r="B33" s="155" t="s">
        <v>46</v>
      </c>
      <c r="C33" s="156" t="s">
        <v>54</v>
      </c>
      <c r="D33" s="150">
        <v>20600</v>
      </c>
      <c r="E33" s="150"/>
      <c r="F33" s="150">
        <v>100</v>
      </c>
      <c r="G33" s="157">
        <f t="shared" si="1"/>
        <v>20700</v>
      </c>
      <c r="H33" s="157">
        <f t="shared" si="2"/>
        <v>20700</v>
      </c>
      <c r="I33" s="124">
        <v>15700</v>
      </c>
      <c r="J33" s="124"/>
    </row>
    <row r="34" spans="1:10" ht="25.5">
      <c r="A34" s="40" t="s">
        <v>143</v>
      </c>
      <c r="B34" s="158" t="s">
        <v>47</v>
      </c>
      <c r="C34" s="156" t="s">
        <v>323</v>
      </c>
      <c r="D34" s="150">
        <v>8100</v>
      </c>
      <c r="E34" s="150">
        <f>5000-500</f>
        <v>4500</v>
      </c>
      <c r="F34" s="150"/>
      <c r="G34" s="157">
        <f t="shared" si="1"/>
        <v>12600</v>
      </c>
      <c r="H34" s="157">
        <f t="shared" si="2"/>
        <v>12600</v>
      </c>
      <c r="I34" s="124">
        <v>6200</v>
      </c>
      <c r="J34" s="124"/>
    </row>
    <row r="35" spans="1:10" ht="25.5">
      <c r="A35" s="40" t="s">
        <v>145</v>
      </c>
      <c r="B35" s="158" t="s">
        <v>48</v>
      </c>
      <c r="C35" s="156" t="s">
        <v>72</v>
      </c>
      <c r="D35" s="150">
        <f>3200+700</f>
        <v>3900</v>
      </c>
      <c r="E35" s="150">
        <f>30000+17000</f>
        <v>47000</v>
      </c>
      <c r="F35" s="150"/>
      <c r="G35" s="157">
        <f t="shared" si="1"/>
        <v>50900</v>
      </c>
      <c r="H35" s="157">
        <f t="shared" si="2"/>
        <v>50900</v>
      </c>
      <c r="I35" s="124"/>
      <c r="J35" s="124"/>
    </row>
    <row r="36" spans="1:10">
      <c r="A36" s="68" t="s">
        <v>147</v>
      </c>
      <c r="B36" s="155" t="s">
        <v>49</v>
      </c>
      <c r="C36" s="156" t="s">
        <v>55</v>
      </c>
      <c r="D36" s="150"/>
      <c r="E36" s="150">
        <f>8600-2000</f>
        <v>6600</v>
      </c>
      <c r="F36" s="150"/>
      <c r="G36" s="157">
        <f t="shared" si="1"/>
        <v>6600</v>
      </c>
      <c r="H36" s="157">
        <f t="shared" si="2"/>
        <v>6600</v>
      </c>
      <c r="I36" s="124"/>
      <c r="J36" s="124"/>
    </row>
    <row r="37" spans="1:10">
      <c r="A37" s="68" t="s">
        <v>149</v>
      </c>
      <c r="B37" s="155" t="s">
        <v>53</v>
      </c>
      <c r="C37" s="156" t="s">
        <v>55</v>
      </c>
      <c r="D37" s="150"/>
      <c r="E37" s="150">
        <v>100</v>
      </c>
      <c r="F37" s="150"/>
      <c r="G37" s="157">
        <f t="shared" si="1"/>
        <v>100</v>
      </c>
      <c r="H37" s="157">
        <f t="shared" si="2"/>
        <v>100</v>
      </c>
      <c r="I37" s="124"/>
      <c r="J37" s="124"/>
    </row>
    <row r="38" spans="1:10" ht="38.25">
      <c r="A38" s="40" t="s">
        <v>151</v>
      </c>
      <c r="B38" s="186" t="s">
        <v>9</v>
      </c>
      <c r="C38" s="153" t="s">
        <v>17</v>
      </c>
      <c r="D38" s="187">
        <f>SUM(D39:D42)</f>
        <v>781500</v>
      </c>
      <c r="E38" s="187">
        <f>SUM(E39:E42)</f>
        <v>153100</v>
      </c>
      <c r="F38" s="187">
        <f>SUM(F39:F42)</f>
        <v>100</v>
      </c>
      <c r="G38" s="188">
        <f t="shared" si="1"/>
        <v>934700</v>
      </c>
      <c r="H38" s="188">
        <f t="shared" si="2"/>
        <v>924700</v>
      </c>
      <c r="I38" s="134">
        <f>SUM(I39:I42)</f>
        <v>367100</v>
      </c>
      <c r="J38" s="134">
        <f>SUM(J39:J42)</f>
        <v>10000</v>
      </c>
    </row>
    <row r="39" spans="1:10" ht="25.5">
      <c r="A39" s="40" t="s">
        <v>152</v>
      </c>
      <c r="B39" s="158" t="s">
        <v>24</v>
      </c>
      <c r="C39" s="156" t="s">
        <v>170</v>
      </c>
      <c r="D39" s="150">
        <v>12000</v>
      </c>
      <c r="E39" s="150">
        <v>8500</v>
      </c>
      <c r="F39" s="150"/>
      <c r="G39" s="157">
        <f t="shared" si="1"/>
        <v>20500</v>
      </c>
      <c r="H39" s="157">
        <f t="shared" si="2"/>
        <v>20500</v>
      </c>
      <c r="I39" s="124">
        <f>1100+4800</f>
        <v>5900</v>
      </c>
      <c r="J39" s="124"/>
    </row>
    <row r="40" spans="1:10">
      <c r="A40" s="68" t="s">
        <v>153</v>
      </c>
      <c r="B40" s="155" t="s">
        <v>25</v>
      </c>
      <c r="C40" s="156" t="s">
        <v>89</v>
      </c>
      <c r="D40" s="150">
        <f>751700+17800</f>
        <v>769500</v>
      </c>
      <c r="E40" s="150">
        <f>130000+10500</f>
        <v>140500</v>
      </c>
      <c r="F40" s="150">
        <v>100</v>
      </c>
      <c r="G40" s="157">
        <f t="shared" si="1"/>
        <v>910100</v>
      </c>
      <c r="H40" s="157">
        <f t="shared" si="2"/>
        <v>900100</v>
      </c>
      <c r="I40" s="124">
        <v>361200</v>
      </c>
      <c r="J40" s="124">
        <v>10000</v>
      </c>
    </row>
    <row r="41" spans="1:10">
      <c r="A41" s="68" t="s">
        <v>154</v>
      </c>
      <c r="B41" s="155" t="s">
        <v>187</v>
      </c>
      <c r="C41" s="156" t="s">
        <v>88</v>
      </c>
      <c r="D41" s="150"/>
      <c r="E41" s="150">
        <v>300</v>
      </c>
      <c r="F41" s="150"/>
      <c r="G41" s="157">
        <f t="shared" si="1"/>
        <v>300</v>
      </c>
      <c r="H41" s="157">
        <f t="shared" si="2"/>
        <v>300</v>
      </c>
      <c r="I41" s="124"/>
      <c r="J41" s="124"/>
    </row>
    <row r="42" spans="1:10" ht="25.5">
      <c r="A42" s="40" t="s">
        <v>155</v>
      </c>
      <c r="B42" s="155" t="s">
        <v>188</v>
      </c>
      <c r="C42" s="156" t="s">
        <v>304</v>
      </c>
      <c r="D42" s="150"/>
      <c r="E42" s="150">
        <f>3000+800</f>
        <v>3800</v>
      </c>
      <c r="F42" s="150"/>
      <c r="G42" s="157">
        <f t="shared" si="1"/>
        <v>3800</v>
      </c>
      <c r="H42" s="157">
        <f t="shared" si="2"/>
        <v>3800</v>
      </c>
      <c r="I42" s="124"/>
      <c r="J42" s="124"/>
    </row>
    <row r="43" spans="1:10" ht="38.25">
      <c r="A43" s="40" t="s">
        <v>250</v>
      </c>
      <c r="B43" s="186" t="s">
        <v>60</v>
      </c>
      <c r="C43" s="153" t="s">
        <v>390</v>
      </c>
      <c r="D43" s="187">
        <f t="shared" ref="D43:J43" si="3">SUM(D44:D49)</f>
        <v>0</v>
      </c>
      <c r="E43" s="187">
        <f t="shared" si="3"/>
        <v>11900</v>
      </c>
      <c r="F43" s="187">
        <f t="shared" si="3"/>
        <v>1100</v>
      </c>
      <c r="G43" s="187">
        <f t="shared" si="3"/>
        <v>13000</v>
      </c>
      <c r="H43" s="187">
        <f t="shared" si="3"/>
        <v>13000</v>
      </c>
      <c r="I43" s="187">
        <f t="shared" si="3"/>
        <v>0</v>
      </c>
      <c r="J43" s="187">
        <f t="shared" si="3"/>
        <v>0</v>
      </c>
    </row>
    <row r="44" spans="1:10">
      <c r="A44" s="68" t="s">
        <v>251</v>
      </c>
      <c r="B44" s="155" t="s">
        <v>64</v>
      </c>
      <c r="C44" s="156" t="s">
        <v>61</v>
      </c>
      <c r="D44" s="150"/>
      <c r="E44" s="150">
        <f>2600-500</f>
        <v>2100</v>
      </c>
      <c r="F44" s="150"/>
      <c r="G44" s="157">
        <f t="shared" ref="G44:G49" si="4">SUM(D44:F44)</f>
        <v>2100</v>
      </c>
      <c r="H44" s="157">
        <f t="shared" ref="H44:H49" si="5">G44-J44</f>
        <v>2100</v>
      </c>
      <c r="I44" s="124"/>
      <c r="J44" s="124"/>
    </row>
    <row r="45" spans="1:10" ht="25.5">
      <c r="A45" s="40" t="s">
        <v>252</v>
      </c>
      <c r="B45" s="158" t="s">
        <v>65</v>
      </c>
      <c r="C45" s="156" t="s">
        <v>316</v>
      </c>
      <c r="D45" s="150"/>
      <c r="E45" s="150">
        <f>300-100</f>
        <v>200</v>
      </c>
      <c r="F45" s="150"/>
      <c r="G45" s="157">
        <f t="shared" si="4"/>
        <v>200</v>
      </c>
      <c r="H45" s="157">
        <f t="shared" si="5"/>
        <v>200</v>
      </c>
      <c r="I45" s="124"/>
      <c r="J45" s="124"/>
    </row>
    <row r="46" spans="1:10">
      <c r="A46" s="40" t="s">
        <v>253</v>
      </c>
      <c r="B46" s="158" t="s">
        <v>66</v>
      </c>
      <c r="C46" s="156" t="s">
        <v>80</v>
      </c>
      <c r="D46" s="150"/>
      <c r="E46" s="150">
        <v>9000</v>
      </c>
      <c r="F46" s="150">
        <v>800</v>
      </c>
      <c r="G46" s="157">
        <f t="shared" si="4"/>
        <v>9800</v>
      </c>
      <c r="H46" s="157">
        <f t="shared" si="5"/>
        <v>9800</v>
      </c>
      <c r="I46" s="124"/>
      <c r="J46" s="124"/>
    </row>
    <row r="47" spans="1:10">
      <c r="A47" s="40" t="s">
        <v>254</v>
      </c>
      <c r="B47" s="158" t="s">
        <v>67</v>
      </c>
      <c r="C47" s="156" t="s">
        <v>62</v>
      </c>
      <c r="D47" s="150"/>
      <c r="E47" s="150">
        <v>100</v>
      </c>
      <c r="F47" s="150"/>
      <c r="G47" s="157">
        <f t="shared" si="4"/>
        <v>100</v>
      </c>
      <c r="H47" s="157">
        <f t="shared" si="5"/>
        <v>100</v>
      </c>
      <c r="I47" s="124"/>
      <c r="J47" s="124"/>
    </row>
    <row r="48" spans="1:10" ht="25.5">
      <c r="A48" s="40" t="s">
        <v>255</v>
      </c>
      <c r="B48" s="158" t="s">
        <v>68</v>
      </c>
      <c r="C48" s="156" t="s">
        <v>305</v>
      </c>
      <c r="D48" s="150"/>
      <c r="E48" s="150">
        <f>400+100</f>
        <v>500</v>
      </c>
      <c r="F48" s="150"/>
      <c r="G48" s="157">
        <f t="shared" si="4"/>
        <v>500</v>
      </c>
      <c r="H48" s="157">
        <f t="shared" si="5"/>
        <v>500</v>
      </c>
      <c r="I48" s="124"/>
      <c r="J48" s="124"/>
    </row>
    <row r="49" spans="1:10" ht="12.75" customHeight="1">
      <c r="A49" s="40" t="s">
        <v>256</v>
      </c>
      <c r="B49" s="158" t="s">
        <v>69</v>
      </c>
      <c r="C49" s="156" t="s">
        <v>63</v>
      </c>
      <c r="D49" s="150"/>
      <c r="E49" s="150"/>
      <c r="F49" s="150">
        <f>200+100</f>
        <v>300</v>
      </c>
      <c r="G49" s="157">
        <f t="shared" si="4"/>
        <v>300</v>
      </c>
      <c r="H49" s="157">
        <f t="shared" si="5"/>
        <v>300</v>
      </c>
      <c r="I49" s="124"/>
      <c r="J49" s="124"/>
    </row>
    <row r="50" spans="1:10" ht="38.25">
      <c r="A50" s="40" t="s">
        <v>257</v>
      </c>
      <c r="B50" s="186" t="s">
        <v>20</v>
      </c>
      <c r="C50" s="153" t="s">
        <v>21</v>
      </c>
      <c r="D50" s="187">
        <f t="shared" ref="D50:J50" si="6">SUM(D51)</f>
        <v>0</v>
      </c>
      <c r="E50" s="187">
        <f t="shared" si="6"/>
        <v>0</v>
      </c>
      <c r="F50" s="187">
        <f t="shared" si="6"/>
        <v>28500</v>
      </c>
      <c r="G50" s="187">
        <f t="shared" si="6"/>
        <v>28500</v>
      </c>
      <c r="H50" s="187">
        <f t="shared" si="6"/>
        <v>28500</v>
      </c>
      <c r="I50" s="187">
        <f t="shared" si="6"/>
        <v>0</v>
      </c>
      <c r="J50" s="187">
        <f t="shared" si="6"/>
        <v>0</v>
      </c>
    </row>
    <row r="51" spans="1:10" ht="25.5">
      <c r="A51" s="40" t="s">
        <v>258</v>
      </c>
      <c r="B51" s="158" t="s">
        <v>27</v>
      </c>
      <c r="C51" s="156" t="s">
        <v>19</v>
      </c>
      <c r="D51" s="150"/>
      <c r="E51" s="150"/>
      <c r="F51" s="150">
        <f>25500+3000</f>
        <v>28500</v>
      </c>
      <c r="G51" s="157">
        <f>SUM(D51:F51)</f>
        <v>28500</v>
      </c>
      <c r="H51" s="157">
        <f>G51-J51</f>
        <v>28500</v>
      </c>
      <c r="I51" s="124"/>
      <c r="J51" s="124"/>
    </row>
    <row r="52" spans="1:10">
      <c r="A52" s="68" t="s">
        <v>259</v>
      </c>
      <c r="B52" s="159"/>
      <c r="C52" s="160" t="s">
        <v>190</v>
      </c>
      <c r="D52" s="132">
        <f t="shared" ref="D52:J52" si="7">SUM(D50+D43+D38+D16)</f>
        <v>963700</v>
      </c>
      <c r="E52" s="132">
        <f t="shared" si="7"/>
        <v>231500</v>
      </c>
      <c r="F52" s="132">
        <f t="shared" si="7"/>
        <v>52800</v>
      </c>
      <c r="G52" s="132">
        <f t="shared" si="7"/>
        <v>1248000</v>
      </c>
      <c r="H52" s="132">
        <f t="shared" si="7"/>
        <v>1238000</v>
      </c>
      <c r="I52" s="132">
        <f t="shared" si="7"/>
        <v>396200</v>
      </c>
      <c r="J52" s="132">
        <f t="shared" si="7"/>
        <v>10000</v>
      </c>
    </row>
    <row r="53" spans="1:10">
      <c r="A53" s="1"/>
      <c r="B53" s="1"/>
      <c r="C53" s="1"/>
      <c r="D53" s="1"/>
      <c r="E53" s="1"/>
      <c r="F53" s="1"/>
      <c r="G53" s="146"/>
      <c r="H53" s="146"/>
      <c r="I53" s="146"/>
      <c r="J53" s="146"/>
    </row>
    <row r="54" spans="1:10">
      <c r="A54" s="279" t="s">
        <v>191</v>
      </c>
      <c r="B54" s="279"/>
      <c r="C54" s="279"/>
      <c r="D54" s="279"/>
      <c r="E54" s="279"/>
      <c r="F54" s="279"/>
      <c r="G54" s="279"/>
      <c r="H54" s="279"/>
      <c r="I54" s="279"/>
      <c r="J54" s="279"/>
    </row>
  </sheetData>
  <mergeCells count="18">
    <mergeCell ref="A54:J54"/>
    <mergeCell ref="A9:I9"/>
    <mergeCell ref="A12:A14"/>
    <mergeCell ref="B12:B14"/>
    <mergeCell ref="C12:C14"/>
    <mergeCell ref="D12:D14"/>
    <mergeCell ref="E12:E14"/>
    <mergeCell ref="F12:F14"/>
    <mergeCell ref="G12:G14"/>
    <mergeCell ref="H12:J12"/>
    <mergeCell ref="H13:I13"/>
    <mergeCell ref="G1:J1"/>
    <mergeCell ref="G2:J2"/>
    <mergeCell ref="G3:J3"/>
    <mergeCell ref="J13:J14"/>
    <mergeCell ref="I11:J11"/>
    <mergeCell ref="G4:J4"/>
    <mergeCell ref="B10:I10"/>
  </mergeCells>
  <phoneticPr fontId="5" type="noConversion"/>
  <pageMargins left="0.78740157480314965" right="0.19685039370078741" top="0.39370078740157483" bottom="0.39370078740157483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zoomScale="135" zoomScaleNormal="135" workbookViewId="0">
      <selection activeCell="E10" sqref="E10"/>
    </sheetView>
  </sheetViews>
  <sheetFormatPr defaultRowHeight="12.75"/>
  <cols>
    <col min="1" max="1" width="4" customWidth="1"/>
    <col min="2" max="2" width="10.140625" customWidth="1"/>
    <col min="3" max="3" width="29.42578125" customWidth="1"/>
    <col min="4" max="4" width="9.85546875" customWidth="1"/>
    <col min="5" max="6" width="9.42578125" customWidth="1"/>
    <col min="7" max="8" width="10.7109375" customWidth="1"/>
  </cols>
  <sheetData>
    <row r="1" spans="1:9" ht="14.1" customHeight="1">
      <c r="A1" s="3"/>
      <c r="B1" s="3"/>
      <c r="C1" s="3"/>
      <c r="D1" s="36"/>
      <c r="E1" s="36"/>
      <c r="F1" s="256" t="s">
        <v>7</v>
      </c>
      <c r="G1" s="256"/>
      <c r="H1" s="256"/>
      <c r="I1" s="256"/>
    </row>
    <row r="2" spans="1:9" ht="14.1" customHeight="1">
      <c r="A2" s="3"/>
      <c r="B2" s="3"/>
      <c r="C2" s="3"/>
      <c r="D2" s="35"/>
      <c r="E2" s="36"/>
      <c r="F2" s="256" t="s">
        <v>344</v>
      </c>
      <c r="G2" s="256"/>
      <c r="H2" s="256"/>
      <c r="I2" s="256"/>
    </row>
    <row r="3" spans="1:9" ht="14.1" customHeight="1">
      <c r="A3" s="3"/>
      <c r="B3" s="3"/>
      <c r="C3" s="3"/>
      <c r="D3" s="35"/>
      <c r="E3" s="36"/>
      <c r="F3" s="256" t="s">
        <v>387</v>
      </c>
      <c r="G3" s="256"/>
      <c r="H3" s="256"/>
      <c r="I3" s="256"/>
    </row>
    <row r="4" spans="1:9" ht="14.1" customHeight="1">
      <c r="A4" s="3"/>
      <c r="B4" s="3"/>
      <c r="C4" s="3"/>
      <c r="D4" s="35"/>
      <c r="E4" s="36"/>
      <c r="F4" s="256" t="s">
        <v>400</v>
      </c>
      <c r="G4" s="256"/>
      <c r="H4" s="256"/>
      <c r="I4" s="256"/>
    </row>
    <row r="5" spans="1:9" ht="14.1" customHeight="1">
      <c r="A5" s="3"/>
      <c r="B5" s="3"/>
      <c r="C5" s="3"/>
      <c r="D5" s="35"/>
      <c r="E5" s="36"/>
      <c r="F5" s="256" t="s">
        <v>346</v>
      </c>
      <c r="G5" s="256"/>
      <c r="H5" s="256"/>
      <c r="I5" s="256"/>
    </row>
    <row r="6" spans="1:9" ht="14.1" customHeight="1">
      <c r="A6" s="1"/>
      <c r="B6" s="2"/>
      <c r="C6" s="3"/>
      <c r="D6" s="36"/>
      <c r="E6" s="36"/>
      <c r="F6" s="256" t="s">
        <v>472</v>
      </c>
      <c r="G6" s="256"/>
      <c r="H6" s="256"/>
      <c r="I6" s="256"/>
    </row>
    <row r="7" spans="1:9" ht="14.1" customHeight="1">
      <c r="A7" s="1"/>
      <c r="B7" s="2"/>
      <c r="C7" s="3"/>
      <c r="D7" s="36"/>
      <c r="E7" s="36"/>
      <c r="F7" s="256" t="s">
        <v>465</v>
      </c>
      <c r="G7" s="256"/>
      <c r="H7" s="256"/>
      <c r="I7" s="256"/>
    </row>
    <row r="8" spans="1:9" ht="15" customHeight="1">
      <c r="A8" s="1"/>
      <c r="B8" s="2"/>
      <c r="C8" s="17"/>
      <c r="D8" s="17"/>
      <c r="E8" s="17"/>
      <c r="F8" s="17"/>
      <c r="G8" s="17"/>
      <c r="H8" s="17"/>
    </row>
    <row r="9" spans="1:9">
      <c r="A9" s="285" t="s">
        <v>401</v>
      </c>
      <c r="B9" s="285"/>
      <c r="C9" s="285"/>
      <c r="D9" s="285"/>
      <c r="E9" s="285"/>
      <c r="F9" s="285"/>
      <c r="G9" s="285"/>
      <c r="H9" s="285"/>
    </row>
    <row r="10" spans="1:9" ht="12.75" customHeight="1">
      <c r="A10" s="34"/>
      <c r="B10" s="34"/>
      <c r="C10" s="34"/>
      <c r="D10" s="34"/>
      <c r="E10" s="34"/>
      <c r="F10" s="34"/>
      <c r="G10" s="34"/>
      <c r="H10" s="34"/>
      <c r="I10" s="34"/>
    </row>
    <row r="11" spans="1:9">
      <c r="A11" s="1"/>
      <c r="B11" s="2"/>
      <c r="C11" s="3"/>
      <c r="D11" s="44"/>
      <c r="E11" s="167"/>
      <c r="F11" s="167"/>
      <c r="G11" s="167"/>
      <c r="H11" s="166" t="s">
        <v>389</v>
      </c>
    </row>
    <row r="12" spans="1:9" ht="12.75" customHeight="1">
      <c r="A12" s="237" t="s">
        <v>0</v>
      </c>
      <c r="B12" s="251" t="s">
        <v>1</v>
      </c>
      <c r="C12" s="237" t="s">
        <v>51</v>
      </c>
      <c r="D12" s="240" t="s">
        <v>2</v>
      </c>
      <c r="E12" s="244" t="s">
        <v>178</v>
      </c>
      <c r="F12" s="245"/>
      <c r="G12" s="245"/>
      <c r="H12" s="246"/>
    </row>
    <row r="13" spans="1:9">
      <c r="A13" s="238"/>
      <c r="B13" s="252"/>
      <c r="C13" s="238"/>
      <c r="D13" s="241"/>
      <c r="E13" s="237" t="s">
        <v>3</v>
      </c>
      <c r="F13" s="287" t="s">
        <v>4</v>
      </c>
      <c r="G13" s="287"/>
      <c r="H13" s="288"/>
    </row>
    <row r="14" spans="1:9" ht="12.75" customHeight="1">
      <c r="A14" s="238"/>
      <c r="B14" s="252"/>
      <c r="C14" s="238"/>
      <c r="D14" s="241"/>
      <c r="E14" s="238"/>
      <c r="F14" s="289" t="s">
        <v>176</v>
      </c>
      <c r="G14" s="289"/>
      <c r="H14" s="237" t="s">
        <v>52</v>
      </c>
    </row>
    <row r="15" spans="1:9" ht="25.5" customHeight="1">
      <c r="A15" s="239"/>
      <c r="B15" s="253"/>
      <c r="C15" s="239"/>
      <c r="D15" s="242"/>
      <c r="E15" s="239"/>
      <c r="F15" s="128" t="s">
        <v>177</v>
      </c>
      <c r="G15" s="130" t="s">
        <v>8</v>
      </c>
      <c r="H15" s="239"/>
    </row>
    <row r="16" spans="1:9">
      <c r="A16" s="5">
        <v>1</v>
      </c>
      <c r="B16" s="6" t="s">
        <v>5</v>
      </c>
      <c r="C16" s="4">
        <v>3</v>
      </c>
      <c r="D16" s="6" t="s">
        <v>6</v>
      </c>
      <c r="E16" s="4">
        <v>5</v>
      </c>
      <c r="F16" s="4">
        <v>6</v>
      </c>
      <c r="G16" s="4">
        <v>7</v>
      </c>
      <c r="H16" s="4">
        <v>8</v>
      </c>
    </row>
    <row r="17" spans="1:8" ht="25.5">
      <c r="A17" s="38" t="s">
        <v>124</v>
      </c>
      <c r="B17" s="122" t="s">
        <v>10</v>
      </c>
      <c r="C17" s="18" t="s">
        <v>11</v>
      </c>
      <c r="D17" s="6"/>
      <c r="E17" s="110">
        <f>SUM(E18:E20)</f>
        <v>23200</v>
      </c>
      <c r="F17" s="110">
        <f>SUM(F18:F20)</f>
        <v>23200</v>
      </c>
      <c r="G17" s="110">
        <f>SUM(G18:G20)</f>
        <v>0</v>
      </c>
      <c r="H17" s="110">
        <f>SUM(H18:H20)</f>
        <v>0</v>
      </c>
    </row>
    <row r="18" spans="1:8">
      <c r="A18" s="33" t="s">
        <v>126</v>
      </c>
      <c r="B18" s="6"/>
      <c r="C18" s="19" t="s">
        <v>325</v>
      </c>
      <c r="D18" s="13" t="s">
        <v>77</v>
      </c>
      <c r="E18" s="21">
        <v>1600</v>
      </c>
      <c r="F18" s="42">
        <f>E18-H18</f>
        <v>1600</v>
      </c>
      <c r="G18" s="20"/>
      <c r="H18" s="20"/>
    </row>
    <row r="19" spans="1:8">
      <c r="A19" s="33" t="s">
        <v>127</v>
      </c>
      <c r="B19" s="6"/>
      <c r="C19" s="19" t="s">
        <v>360</v>
      </c>
      <c r="D19" s="43" t="s">
        <v>77</v>
      </c>
      <c r="E19" s="21">
        <v>10600</v>
      </c>
      <c r="F19" s="42">
        <f>E19-H19</f>
        <v>10600</v>
      </c>
      <c r="G19" s="20"/>
      <c r="H19" s="20"/>
    </row>
    <row r="20" spans="1:8">
      <c r="A20" s="33" t="s">
        <v>128</v>
      </c>
      <c r="B20" s="6"/>
      <c r="C20" s="19" t="s">
        <v>361</v>
      </c>
      <c r="D20" s="43" t="s">
        <v>77</v>
      </c>
      <c r="E20" s="21">
        <v>11000</v>
      </c>
      <c r="F20" s="42">
        <f>E20-H20</f>
        <v>11000</v>
      </c>
      <c r="G20" s="20"/>
      <c r="H20" s="20"/>
    </row>
    <row r="21" spans="1:8" ht="38.25">
      <c r="A21" s="38" t="s">
        <v>129</v>
      </c>
      <c r="B21" s="32" t="s">
        <v>9</v>
      </c>
      <c r="C21" s="23" t="s">
        <v>17</v>
      </c>
      <c r="D21" s="152"/>
      <c r="E21" s="185">
        <f>SUM(E22+E30)</f>
        <v>807600</v>
      </c>
      <c r="F21" s="185">
        <f>SUM(F22+F30)</f>
        <v>807600</v>
      </c>
      <c r="G21" s="185">
        <f>SUM(G22+G30)</f>
        <v>6000</v>
      </c>
      <c r="H21" s="185">
        <f>SUM(H22+H30)</f>
        <v>0</v>
      </c>
    </row>
    <row r="22" spans="1:8" ht="25.5">
      <c r="A22" s="40" t="s">
        <v>130</v>
      </c>
      <c r="B22" s="234" t="s">
        <v>24</v>
      </c>
      <c r="C22" s="10" t="s">
        <v>75</v>
      </c>
      <c r="D22" s="152"/>
      <c r="E22" s="185">
        <f>SUM(E23:E29)</f>
        <v>797900</v>
      </c>
      <c r="F22" s="185">
        <f>SUM(F23:F29)</f>
        <v>797900</v>
      </c>
      <c r="G22" s="185">
        <f>SUM(G23:G29)</f>
        <v>0</v>
      </c>
      <c r="H22" s="185">
        <f>SUM(H23:H29)</f>
        <v>0</v>
      </c>
    </row>
    <row r="23" spans="1:8">
      <c r="A23" s="40" t="s">
        <v>131</v>
      </c>
      <c r="B23" s="235"/>
      <c r="C23" s="58" t="s">
        <v>402</v>
      </c>
      <c r="D23" s="54" t="s">
        <v>78</v>
      </c>
      <c r="E23" s="59">
        <f>882000-23200-21500-9700-48100</f>
        <v>779500</v>
      </c>
      <c r="F23" s="136">
        <f t="shared" ref="F23:F33" si="0">E23-H23</f>
        <v>779500</v>
      </c>
      <c r="G23" s="4"/>
      <c r="H23" s="4"/>
    </row>
    <row r="24" spans="1:8">
      <c r="A24" s="38" t="s">
        <v>132</v>
      </c>
      <c r="B24" s="235"/>
      <c r="C24" s="58" t="s">
        <v>466</v>
      </c>
      <c r="D24" s="218" t="s">
        <v>78</v>
      </c>
      <c r="E24" s="59">
        <v>300</v>
      </c>
      <c r="F24" s="136">
        <f t="shared" si="0"/>
        <v>300</v>
      </c>
      <c r="G24" s="4"/>
      <c r="H24" s="4"/>
    </row>
    <row r="25" spans="1:8">
      <c r="A25" s="38" t="s">
        <v>133</v>
      </c>
      <c r="B25" s="235"/>
      <c r="C25" s="58" t="s">
        <v>418</v>
      </c>
      <c r="D25" s="218" t="s">
        <v>78</v>
      </c>
      <c r="E25" s="59">
        <v>1200</v>
      </c>
      <c r="F25" s="136">
        <f t="shared" si="0"/>
        <v>1200</v>
      </c>
      <c r="G25" s="4"/>
      <c r="H25" s="4"/>
    </row>
    <row r="26" spans="1:8">
      <c r="A26" s="38" t="s">
        <v>134</v>
      </c>
      <c r="B26" s="235"/>
      <c r="C26" s="58" t="s">
        <v>419</v>
      </c>
      <c r="D26" s="218" t="s">
        <v>78</v>
      </c>
      <c r="E26" s="59">
        <v>6200</v>
      </c>
      <c r="F26" s="136">
        <f t="shared" si="0"/>
        <v>6200</v>
      </c>
      <c r="G26" s="4"/>
      <c r="H26" s="4"/>
    </row>
    <row r="27" spans="1:8">
      <c r="A27" s="38" t="s">
        <v>135</v>
      </c>
      <c r="B27" s="235"/>
      <c r="C27" s="58" t="s">
        <v>468</v>
      </c>
      <c r="D27" s="218" t="s">
        <v>78</v>
      </c>
      <c r="E27" s="59">
        <v>2000</v>
      </c>
      <c r="F27" s="136">
        <f t="shared" si="0"/>
        <v>2000</v>
      </c>
      <c r="G27" s="4"/>
      <c r="H27" s="4"/>
    </row>
    <row r="28" spans="1:8">
      <c r="A28" s="38" t="s">
        <v>136</v>
      </c>
      <c r="B28" s="235"/>
      <c r="C28" s="58" t="s">
        <v>414</v>
      </c>
      <c r="D28" s="218" t="s">
        <v>78</v>
      </c>
      <c r="E28" s="59">
        <v>1700</v>
      </c>
      <c r="F28" s="136">
        <f t="shared" si="0"/>
        <v>1700</v>
      </c>
      <c r="G28" s="4"/>
      <c r="H28" s="4"/>
    </row>
    <row r="29" spans="1:8">
      <c r="A29" s="38" t="s">
        <v>137</v>
      </c>
      <c r="B29" s="236"/>
      <c r="C29" s="58" t="s">
        <v>469</v>
      </c>
      <c r="D29" s="218" t="s">
        <v>78</v>
      </c>
      <c r="E29" s="59">
        <v>7000</v>
      </c>
      <c r="F29" s="136">
        <f t="shared" si="0"/>
        <v>7000</v>
      </c>
      <c r="G29" s="4"/>
      <c r="H29" s="4"/>
    </row>
    <row r="30" spans="1:8">
      <c r="A30" s="38" t="s">
        <v>138</v>
      </c>
      <c r="B30" s="39" t="s">
        <v>25</v>
      </c>
      <c r="C30" s="58" t="s">
        <v>88</v>
      </c>
      <c r="D30" s="218" t="s">
        <v>78</v>
      </c>
      <c r="E30" s="223">
        <v>9700</v>
      </c>
      <c r="F30" s="42">
        <f t="shared" si="0"/>
        <v>9700</v>
      </c>
      <c r="G30" s="224">
        <v>6000</v>
      </c>
      <c r="H30" s="224"/>
    </row>
    <row r="31" spans="1:8" ht="38.25">
      <c r="A31" s="38" t="s">
        <v>139</v>
      </c>
      <c r="B31" s="186" t="s">
        <v>20</v>
      </c>
      <c r="C31" s="153" t="s">
        <v>21</v>
      </c>
      <c r="D31" s="218"/>
      <c r="E31" s="225">
        <f>SUM(E32)</f>
        <v>30000</v>
      </c>
      <c r="F31" s="110">
        <f t="shared" si="0"/>
        <v>30000</v>
      </c>
      <c r="G31" s="224"/>
      <c r="H31" s="224"/>
    </row>
    <row r="32" spans="1:8" ht="25.5">
      <c r="A32" s="38" t="s">
        <v>140</v>
      </c>
      <c r="B32" s="158" t="s">
        <v>27</v>
      </c>
      <c r="C32" s="156" t="s">
        <v>19</v>
      </c>
      <c r="D32" s="218"/>
      <c r="E32" s="223">
        <f>SUM(E33)</f>
        <v>30000</v>
      </c>
      <c r="F32" s="42">
        <f t="shared" si="0"/>
        <v>30000</v>
      </c>
      <c r="G32" s="224"/>
      <c r="H32" s="224"/>
    </row>
    <row r="33" spans="1:8">
      <c r="A33" s="38" t="s">
        <v>141</v>
      </c>
      <c r="B33" s="39"/>
      <c r="C33" s="58" t="s">
        <v>427</v>
      </c>
      <c r="D33" s="218" t="s">
        <v>20</v>
      </c>
      <c r="E33" s="223">
        <v>30000</v>
      </c>
      <c r="F33" s="42">
        <f t="shared" si="0"/>
        <v>30000</v>
      </c>
      <c r="G33" s="224"/>
      <c r="H33" s="224"/>
    </row>
    <row r="34" spans="1:8">
      <c r="A34" s="38" t="s">
        <v>142</v>
      </c>
      <c r="B34" s="63" t="s">
        <v>83</v>
      </c>
      <c r="C34" s="50" t="s">
        <v>85</v>
      </c>
      <c r="D34" s="218"/>
      <c r="E34" s="111">
        <f t="shared" ref="E34:H35" si="1">SUM(E35)</f>
        <v>21200</v>
      </c>
      <c r="F34" s="111">
        <f t="shared" si="1"/>
        <v>1500</v>
      </c>
      <c r="G34" s="111">
        <f t="shared" si="1"/>
        <v>0</v>
      </c>
      <c r="H34" s="111">
        <f t="shared" si="1"/>
        <v>19700</v>
      </c>
    </row>
    <row r="35" spans="1:8" ht="25.5">
      <c r="A35" s="38" t="s">
        <v>143</v>
      </c>
      <c r="B35" s="41" t="s">
        <v>86</v>
      </c>
      <c r="C35" s="219" t="s">
        <v>75</v>
      </c>
      <c r="D35" s="218"/>
      <c r="E35" s="59">
        <f t="shared" si="1"/>
        <v>21200</v>
      </c>
      <c r="F35" s="59">
        <f t="shared" si="1"/>
        <v>1500</v>
      </c>
      <c r="G35" s="59">
        <f t="shared" si="1"/>
        <v>0</v>
      </c>
      <c r="H35" s="59">
        <f t="shared" si="1"/>
        <v>19700</v>
      </c>
    </row>
    <row r="36" spans="1:8">
      <c r="A36" s="7" t="s">
        <v>145</v>
      </c>
      <c r="B36" s="37"/>
      <c r="C36" s="58" t="s">
        <v>464</v>
      </c>
      <c r="D36" s="218" t="s">
        <v>82</v>
      </c>
      <c r="E36" s="220">
        <f>21500-300</f>
        <v>21200</v>
      </c>
      <c r="F36" s="221">
        <f>E36-H36</f>
        <v>1500</v>
      </c>
      <c r="G36" s="222">
        <f>200-200</f>
        <v>0</v>
      </c>
      <c r="H36" s="222">
        <v>19700</v>
      </c>
    </row>
    <row r="37" spans="1:8">
      <c r="A37" s="7" t="s">
        <v>147</v>
      </c>
      <c r="B37" s="14"/>
      <c r="C37" s="15" t="s">
        <v>190</v>
      </c>
      <c r="D37" s="16"/>
      <c r="E37" s="28">
        <f>SUM(E17+E21+E31+E34)</f>
        <v>882000</v>
      </c>
      <c r="F37" s="28">
        <f>SUM(F17+F21+F31+F34)</f>
        <v>862300</v>
      </c>
      <c r="G37" s="28">
        <f>SUM(G17+G21+G31+G34)</f>
        <v>6000</v>
      </c>
      <c r="H37" s="28">
        <f>SUM(H17+H21+H31+H34)</f>
        <v>19700</v>
      </c>
    </row>
    <row r="39" spans="1:8">
      <c r="A39" s="286" t="s">
        <v>184</v>
      </c>
      <c r="B39" s="286"/>
      <c r="C39" s="286"/>
      <c r="D39" s="286"/>
      <c r="E39" s="286"/>
      <c r="F39" s="286"/>
      <c r="G39" s="286"/>
      <c r="H39" s="286"/>
    </row>
    <row r="42" spans="1:8">
      <c r="E42" s="140"/>
    </row>
  </sheetData>
  <mergeCells count="19">
    <mergeCell ref="B22:B29"/>
    <mergeCell ref="A39:H39"/>
    <mergeCell ref="E12:H12"/>
    <mergeCell ref="E13:E15"/>
    <mergeCell ref="F13:H13"/>
    <mergeCell ref="F14:G14"/>
    <mergeCell ref="A9:H9"/>
    <mergeCell ref="H14:H15"/>
    <mergeCell ref="A12:A15"/>
    <mergeCell ref="B12:B15"/>
    <mergeCell ref="C12:C15"/>
    <mergeCell ref="D12:D15"/>
    <mergeCell ref="F4:I4"/>
    <mergeCell ref="F5:I5"/>
    <mergeCell ref="F7:I7"/>
    <mergeCell ref="F1:I1"/>
    <mergeCell ref="F2:I2"/>
    <mergeCell ref="F3:I3"/>
    <mergeCell ref="F6:I6"/>
  </mergeCells>
  <phoneticPr fontId="5" type="noConversion"/>
  <pageMargins left="0.78740157480314965" right="0.19685039370078741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17"/>
  <sheetViews>
    <sheetView topLeftCell="A2" zoomScale="135" zoomScaleNormal="135" workbookViewId="0">
      <selection activeCell="D13" sqref="D13:D16"/>
    </sheetView>
  </sheetViews>
  <sheetFormatPr defaultRowHeight="12.75"/>
  <cols>
    <col min="1" max="1" width="4" customWidth="1"/>
    <col min="2" max="2" width="10.140625" customWidth="1"/>
    <col min="3" max="3" width="31.85546875" customWidth="1"/>
    <col min="4" max="4" width="9.28515625" customWidth="1"/>
    <col min="5" max="5" width="8.85546875" customWidth="1"/>
    <col min="6" max="6" width="8.7109375" customWidth="1"/>
    <col min="7" max="7" width="10.7109375" customWidth="1"/>
    <col min="8" max="8" width="10.28515625" customWidth="1"/>
  </cols>
  <sheetData>
    <row r="1" spans="1:9" ht="14.1" customHeight="1">
      <c r="A1" s="3"/>
      <c r="B1" s="3"/>
      <c r="C1" s="3"/>
      <c r="D1" s="35"/>
      <c r="E1" s="36"/>
      <c r="F1" s="250" t="s">
        <v>7</v>
      </c>
      <c r="G1" s="250"/>
      <c r="H1" s="250"/>
    </row>
    <row r="2" spans="1:9" ht="14.1" customHeight="1">
      <c r="A2" s="3"/>
      <c r="B2" s="3"/>
      <c r="C2" s="3"/>
      <c r="D2" s="35"/>
      <c r="E2" s="36"/>
      <c r="F2" s="250" t="s">
        <v>344</v>
      </c>
      <c r="G2" s="250"/>
      <c r="H2" s="250"/>
    </row>
    <row r="3" spans="1:9" ht="14.1" customHeight="1">
      <c r="A3" s="1"/>
      <c r="B3" s="2"/>
      <c r="C3" s="3"/>
      <c r="D3" s="36"/>
      <c r="E3" s="36"/>
      <c r="F3" s="250" t="s">
        <v>387</v>
      </c>
      <c r="G3" s="250"/>
      <c r="H3" s="250"/>
    </row>
    <row r="4" spans="1:9" ht="14.1" customHeight="1">
      <c r="A4" s="1"/>
      <c r="B4" s="2"/>
      <c r="C4" s="17"/>
      <c r="D4" s="17"/>
      <c r="E4" s="17"/>
      <c r="F4" s="256" t="s">
        <v>196</v>
      </c>
      <c r="G4" s="256"/>
      <c r="H4" s="256"/>
    </row>
    <row r="5" spans="1:9" ht="15" customHeight="1">
      <c r="A5" s="1"/>
      <c r="B5" s="2"/>
      <c r="C5" s="17"/>
      <c r="D5" s="17"/>
      <c r="E5" s="17"/>
      <c r="F5" s="17" t="s">
        <v>346</v>
      </c>
      <c r="G5" s="17"/>
      <c r="H5" s="17"/>
    </row>
    <row r="6" spans="1:9">
      <c r="A6" s="1"/>
      <c r="B6" s="2"/>
      <c r="C6" s="17"/>
      <c r="D6" s="17"/>
      <c r="E6" s="17"/>
      <c r="F6" s="17" t="s">
        <v>472</v>
      </c>
      <c r="G6" s="17"/>
      <c r="H6" s="17"/>
    </row>
    <row r="7" spans="1:9">
      <c r="A7" s="1"/>
      <c r="B7" s="2"/>
      <c r="C7" s="17"/>
      <c r="D7" s="17"/>
      <c r="E7" s="17"/>
      <c r="F7" s="17" t="s">
        <v>388</v>
      </c>
      <c r="G7" s="17"/>
      <c r="H7" s="17"/>
    </row>
    <row r="8" spans="1:9">
      <c r="A8" s="255" t="s">
        <v>450</v>
      </c>
      <c r="B8" s="255"/>
      <c r="C8" s="255"/>
      <c r="D8" s="255"/>
      <c r="E8" s="255"/>
      <c r="F8" s="255"/>
      <c r="G8" s="255"/>
      <c r="H8" s="255"/>
    </row>
    <row r="9" spans="1:9" ht="12.75" customHeight="1">
      <c r="A9" s="255"/>
      <c r="B9" s="255"/>
      <c r="C9" s="255"/>
      <c r="D9" s="255"/>
      <c r="E9" s="255"/>
      <c r="F9" s="255"/>
      <c r="G9" s="255"/>
      <c r="H9" s="255"/>
      <c r="I9" s="34"/>
    </row>
    <row r="10" spans="1:9">
      <c r="A10" s="255"/>
      <c r="B10" s="255"/>
      <c r="C10" s="255"/>
      <c r="D10" s="255"/>
      <c r="E10" s="255"/>
      <c r="F10" s="255"/>
      <c r="G10" s="255"/>
      <c r="H10" s="255"/>
    </row>
    <row r="11" spans="1:9" ht="12.75" customHeight="1">
      <c r="A11" s="34"/>
      <c r="B11" s="34"/>
      <c r="C11" s="34"/>
      <c r="D11" s="34"/>
      <c r="E11" s="34"/>
      <c r="F11" s="34"/>
      <c r="G11" s="34"/>
      <c r="H11" s="34"/>
    </row>
    <row r="12" spans="1:9">
      <c r="A12" s="1"/>
      <c r="B12" s="2"/>
      <c r="C12" s="3"/>
      <c r="D12" s="44"/>
      <c r="E12" s="167"/>
      <c r="F12" s="167"/>
      <c r="G12" s="167"/>
      <c r="H12" s="166" t="s">
        <v>389</v>
      </c>
    </row>
    <row r="13" spans="1:9" ht="12.75" customHeight="1">
      <c r="A13" s="237" t="s">
        <v>0</v>
      </c>
      <c r="B13" s="251" t="s">
        <v>1</v>
      </c>
      <c r="C13" s="237" t="s">
        <v>51</v>
      </c>
      <c r="D13" s="240" t="s">
        <v>2</v>
      </c>
      <c r="E13" s="244" t="s">
        <v>71</v>
      </c>
      <c r="F13" s="245"/>
      <c r="G13" s="245"/>
      <c r="H13" s="246"/>
    </row>
    <row r="14" spans="1:9" ht="25.5" customHeight="1">
      <c r="A14" s="238"/>
      <c r="B14" s="252"/>
      <c r="C14" s="238"/>
      <c r="D14" s="241"/>
      <c r="E14" s="237" t="s">
        <v>3</v>
      </c>
      <c r="F14" s="287" t="s">
        <v>4</v>
      </c>
      <c r="G14" s="287"/>
      <c r="H14" s="288"/>
    </row>
    <row r="15" spans="1:9">
      <c r="A15" s="238"/>
      <c r="B15" s="252"/>
      <c r="C15" s="238"/>
      <c r="D15" s="241"/>
      <c r="E15" s="238"/>
      <c r="F15" s="289" t="s">
        <v>176</v>
      </c>
      <c r="G15" s="289"/>
      <c r="H15" s="237" t="s">
        <v>52</v>
      </c>
    </row>
    <row r="16" spans="1:9" ht="38.25">
      <c r="A16" s="239"/>
      <c r="B16" s="253"/>
      <c r="C16" s="239"/>
      <c r="D16" s="242"/>
      <c r="E16" s="239"/>
      <c r="F16" s="128" t="s">
        <v>177</v>
      </c>
      <c r="G16" s="130" t="s">
        <v>8</v>
      </c>
      <c r="H16" s="239"/>
    </row>
    <row r="17" spans="1:12">
      <c r="A17" s="5">
        <v>1</v>
      </c>
      <c r="B17" s="6" t="s">
        <v>5</v>
      </c>
      <c r="C17" s="4">
        <v>3</v>
      </c>
      <c r="D17" s="6" t="s">
        <v>6</v>
      </c>
      <c r="E17" s="4">
        <v>5</v>
      </c>
      <c r="F17" s="4">
        <v>6</v>
      </c>
      <c r="G17" s="4">
        <v>7</v>
      </c>
      <c r="H17" s="4">
        <v>8</v>
      </c>
    </row>
    <row r="18" spans="1:12" ht="25.5">
      <c r="A18" s="38" t="s">
        <v>124</v>
      </c>
      <c r="B18" s="122" t="s">
        <v>10</v>
      </c>
      <c r="C18" s="18" t="s">
        <v>11</v>
      </c>
      <c r="D18" s="13"/>
      <c r="E18" s="110">
        <f>SUM(E19:E40)</f>
        <v>4088400</v>
      </c>
      <c r="F18" s="110">
        <f>SUM(F19:F40)</f>
        <v>4065900</v>
      </c>
      <c r="G18" s="110">
        <f>SUM(G19:G40)</f>
        <v>2086500</v>
      </c>
      <c r="H18" s="110">
        <f>SUM(H19:H40)</f>
        <v>22500</v>
      </c>
      <c r="L18" s="48"/>
    </row>
    <row r="19" spans="1:12">
      <c r="A19" s="33" t="s">
        <v>126</v>
      </c>
      <c r="B19" s="13" t="s">
        <v>30</v>
      </c>
      <c r="C19" s="19" t="s">
        <v>12</v>
      </c>
      <c r="D19" s="13" t="s">
        <v>76</v>
      </c>
      <c r="E19" s="21">
        <f>327600+11400+1300</f>
        <v>340300</v>
      </c>
      <c r="F19" s="21">
        <f t="shared" ref="F19:F30" si="0">E19-H19</f>
        <v>327400</v>
      </c>
      <c r="G19" s="21">
        <f>105600</f>
        <v>105600</v>
      </c>
      <c r="H19" s="21">
        <f>1500+11400</f>
        <v>12900</v>
      </c>
    </row>
    <row r="20" spans="1:12">
      <c r="A20" s="33" t="s">
        <v>127</v>
      </c>
      <c r="B20" s="13" t="s">
        <v>31</v>
      </c>
      <c r="C20" s="19" t="s">
        <v>325</v>
      </c>
      <c r="D20" s="13" t="s">
        <v>77</v>
      </c>
      <c r="E20" s="21">
        <f>236400+300</f>
        <v>236700</v>
      </c>
      <c r="F20" s="21">
        <f t="shared" si="0"/>
        <v>236700</v>
      </c>
      <c r="G20" s="21">
        <f>75800</f>
        <v>75800</v>
      </c>
      <c r="H20" s="21"/>
    </row>
    <row r="21" spans="1:12">
      <c r="A21" s="38" t="s">
        <v>128</v>
      </c>
      <c r="B21" s="43" t="s">
        <v>32</v>
      </c>
      <c r="C21" s="19" t="s">
        <v>360</v>
      </c>
      <c r="D21" s="43" t="s">
        <v>77</v>
      </c>
      <c r="E21" s="42">
        <f>283700+400</f>
        <v>284100</v>
      </c>
      <c r="F21" s="42">
        <f t="shared" si="0"/>
        <v>283300</v>
      </c>
      <c r="G21" s="42">
        <f>128000</f>
        <v>128000</v>
      </c>
      <c r="H21" s="42">
        <v>800</v>
      </c>
    </row>
    <row r="22" spans="1:12" ht="25.5">
      <c r="A22" s="38" t="s">
        <v>129</v>
      </c>
      <c r="B22" s="43" t="s">
        <v>33</v>
      </c>
      <c r="C22" s="19" t="s">
        <v>326</v>
      </c>
      <c r="D22" s="43" t="s">
        <v>77</v>
      </c>
      <c r="E22" s="42">
        <f>225800+400+5900</f>
        <v>232100</v>
      </c>
      <c r="F22" s="42">
        <f t="shared" si="0"/>
        <v>232100</v>
      </c>
      <c r="G22" s="42">
        <f>100800</f>
        <v>100800</v>
      </c>
      <c r="H22" s="42"/>
    </row>
    <row r="23" spans="1:12">
      <c r="A23" s="38" t="s">
        <v>130</v>
      </c>
      <c r="B23" s="43" t="s">
        <v>34</v>
      </c>
      <c r="C23" s="19" t="s">
        <v>361</v>
      </c>
      <c r="D23" s="43" t="s">
        <v>77</v>
      </c>
      <c r="E23" s="42">
        <f>256300+3200+300</f>
        <v>259800</v>
      </c>
      <c r="F23" s="42">
        <f t="shared" si="0"/>
        <v>259800</v>
      </c>
      <c r="G23" s="42">
        <f>124200</f>
        <v>124200</v>
      </c>
      <c r="H23" s="42"/>
    </row>
    <row r="24" spans="1:12" ht="12.75" customHeight="1">
      <c r="A24" s="38" t="s">
        <v>131</v>
      </c>
      <c r="B24" s="43" t="s">
        <v>35</v>
      </c>
      <c r="C24" s="19" t="s">
        <v>362</v>
      </c>
      <c r="D24" s="43" t="s">
        <v>77</v>
      </c>
      <c r="E24" s="42">
        <f>237000+400+5700</f>
        <v>243100</v>
      </c>
      <c r="F24" s="42">
        <f t="shared" si="0"/>
        <v>236700</v>
      </c>
      <c r="G24" s="42">
        <f>92100</f>
        <v>92100</v>
      </c>
      <c r="H24" s="42">
        <f>700+5700</f>
        <v>6400</v>
      </c>
    </row>
    <row r="25" spans="1:12" ht="25.5">
      <c r="A25" s="38" t="s">
        <v>132</v>
      </c>
      <c r="B25" s="43" t="s">
        <v>36</v>
      </c>
      <c r="C25" s="19" t="s">
        <v>342</v>
      </c>
      <c r="D25" s="43" t="s">
        <v>77</v>
      </c>
      <c r="E25" s="42">
        <f>194400+400+5900</f>
        <v>200700</v>
      </c>
      <c r="F25" s="42">
        <f t="shared" si="0"/>
        <v>200700</v>
      </c>
      <c r="G25" s="42">
        <f>93400</f>
        <v>93400</v>
      </c>
      <c r="H25" s="42"/>
    </row>
    <row r="26" spans="1:12">
      <c r="A26" s="38" t="s">
        <v>133</v>
      </c>
      <c r="B26" s="43" t="s">
        <v>37</v>
      </c>
      <c r="C26" s="19" t="s">
        <v>14</v>
      </c>
      <c r="D26" s="43" t="s">
        <v>77</v>
      </c>
      <c r="E26" s="42">
        <f>172000+400+1000</f>
        <v>173400</v>
      </c>
      <c r="F26" s="42">
        <f t="shared" si="0"/>
        <v>173400</v>
      </c>
      <c r="G26" s="42">
        <f>86200</f>
        <v>86200</v>
      </c>
      <c r="H26" s="42"/>
    </row>
    <row r="27" spans="1:12" ht="25.5">
      <c r="A27" s="38" t="s">
        <v>134</v>
      </c>
      <c r="B27" s="43" t="s">
        <v>38</v>
      </c>
      <c r="C27" s="19" t="s">
        <v>327</v>
      </c>
      <c r="D27" s="43" t="s">
        <v>77</v>
      </c>
      <c r="E27" s="42">
        <f>85100+400</f>
        <v>85500</v>
      </c>
      <c r="F27" s="42">
        <f t="shared" si="0"/>
        <v>85500</v>
      </c>
      <c r="G27" s="42">
        <f>42800</f>
        <v>42800</v>
      </c>
      <c r="H27" s="42"/>
    </row>
    <row r="28" spans="1:12">
      <c r="A28" s="38" t="s">
        <v>135</v>
      </c>
      <c r="B28" s="43" t="s">
        <v>39</v>
      </c>
      <c r="C28" s="19" t="s">
        <v>328</v>
      </c>
      <c r="D28" s="43" t="s">
        <v>77</v>
      </c>
      <c r="E28" s="42">
        <f>125200+400+1000</f>
        <v>126600</v>
      </c>
      <c r="F28" s="42">
        <f t="shared" si="0"/>
        <v>126600</v>
      </c>
      <c r="G28" s="42">
        <f>62800</f>
        <v>62800</v>
      </c>
      <c r="H28" s="42"/>
    </row>
    <row r="29" spans="1:12">
      <c r="A29" s="38" t="s">
        <v>136</v>
      </c>
      <c r="B29" s="43" t="s">
        <v>40</v>
      </c>
      <c r="C29" s="19" t="s">
        <v>329</v>
      </c>
      <c r="D29" s="43" t="s">
        <v>77</v>
      </c>
      <c r="E29" s="42">
        <f>129700+300</f>
        <v>130000</v>
      </c>
      <c r="F29" s="42">
        <f t="shared" si="0"/>
        <v>130000</v>
      </c>
      <c r="G29" s="42">
        <f>62900</f>
        <v>62900</v>
      </c>
      <c r="H29" s="42"/>
    </row>
    <row r="30" spans="1:12">
      <c r="A30" s="38" t="s">
        <v>137</v>
      </c>
      <c r="B30" s="43" t="s">
        <v>41</v>
      </c>
      <c r="C30" s="19" t="s">
        <v>363</v>
      </c>
      <c r="D30" s="43" t="s">
        <v>77</v>
      </c>
      <c r="E30" s="42">
        <f>111300+300</f>
        <v>111600</v>
      </c>
      <c r="F30" s="42">
        <f t="shared" si="0"/>
        <v>111000</v>
      </c>
      <c r="G30" s="42">
        <f>58000</f>
        <v>58000</v>
      </c>
      <c r="H30" s="42">
        <v>600</v>
      </c>
    </row>
    <row r="31" spans="1:12">
      <c r="A31" s="33" t="s">
        <v>138</v>
      </c>
      <c r="B31" s="13" t="s">
        <v>42</v>
      </c>
      <c r="C31" s="19" t="s">
        <v>15</v>
      </c>
      <c r="D31" s="13" t="s">
        <v>77</v>
      </c>
      <c r="E31" s="21">
        <f>218100</f>
        <v>218100</v>
      </c>
      <c r="F31" s="21">
        <f>E31-H31</f>
        <v>218100</v>
      </c>
      <c r="G31" s="21">
        <f>114300</f>
        <v>114300</v>
      </c>
      <c r="H31" s="21"/>
    </row>
    <row r="32" spans="1:12">
      <c r="A32" s="33" t="s">
        <v>139</v>
      </c>
      <c r="B32" s="13" t="s">
        <v>43</v>
      </c>
      <c r="C32" s="19" t="s">
        <v>16</v>
      </c>
      <c r="D32" s="13" t="s">
        <v>77</v>
      </c>
      <c r="E32" s="21">
        <f>330400</f>
        <v>330400</v>
      </c>
      <c r="F32" s="21">
        <f>E32-H32</f>
        <v>330400</v>
      </c>
      <c r="G32" s="21">
        <f>194800</f>
        <v>194800</v>
      </c>
      <c r="H32" s="21"/>
    </row>
    <row r="33" spans="1:8">
      <c r="A33" s="33" t="s">
        <v>140</v>
      </c>
      <c r="B33" s="13" t="s">
        <v>44</v>
      </c>
      <c r="C33" s="19" t="s">
        <v>171</v>
      </c>
      <c r="D33" s="13" t="s">
        <v>77</v>
      </c>
      <c r="E33" s="21">
        <f>172000</f>
        <v>172000</v>
      </c>
      <c r="F33" s="21">
        <f>E33-H33</f>
        <v>172000</v>
      </c>
      <c r="G33" s="21">
        <f>97800</f>
        <v>97800</v>
      </c>
      <c r="H33" s="21"/>
    </row>
    <row r="34" spans="1:8" ht="12.75" customHeight="1">
      <c r="A34" s="38" t="s">
        <v>141</v>
      </c>
      <c r="B34" s="43" t="s">
        <v>45</v>
      </c>
      <c r="C34" s="19" t="s">
        <v>330</v>
      </c>
      <c r="D34" s="13" t="s">
        <v>77</v>
      </c>
      <c r="E34" s="42">
        <f>146300</f>
        <v>146300</v>
      </c>
      <c r="F34" s="42">
        <f>E34-H34</f>
        <v>145700</v>
      </c>
      <c r="G34" s="42">
        <f>108400</f>
        <v>108400</v>
      </c>
      <c r="H34" s="42">
        <v>600</v>
      </c>
    </row>
    <row r="35" spans="1:8" ht="12.75" customHeight="1">
      <c r="A35" s="33" t="s">
        <v>142</v>
      </c>
      <c r="B35" s="13" t="s">
        <v>46</v>
      </c>
      <c r="C35" s="19" t="s">
        <v>54</v>
      </c>
      <c r="D35" s="13" t="s">
        <v>77</v>
      </c>
      <c r="E35" s="21">
        <f>305900+1500+200</f>
        <v>307600</v>
      </c>
      <c r="F35" s="42">
        <f t="shared" ref="F35:F42" si="1">E35-H35</f>
        <v>307000</v>
      </c>
      <c r="G35" s="21">
        <f>222500</f>
        <v>222500</v>
      </c>
      <c r="H35" s="21">
        <v>600</v>
      </c>
    </row>
    <row r="36" spans="1:8" ht="25.5">
      <c r="A36" s="38" t="s">
        <v>143</v>
      </c>
      <c r="B36" s="43" t="s">
        <v>47</v>
      </c>
      <c r="C36" s="19" t="s">
        <v>323</v>
      </c>
      <c r="D36" s="43" t="s">
        <v>77</v>
      </c>
      <c r="E36" s="42">
        <f>132800+500+500+600</f>
        <v>134400</v>
      </c>
      <c r="F36" s="42">
        <f t="shared" si="1"/>
        <v>133800</v>
      </c>
      <c r="G36" s="42">
        <f>93400</f>
        <v>93400</v>
      </c>
      <c r="H36" s="42">
        <v>600</v>
      </c>
    </row>
    <row r="37" spans="1:8" ht="25.5">
      <c r="A37" s="38" t="s">
        <v>145</v>
      </c>
      <c r="B37" s="43" t="s">
        <v>48</v>
      </c>
      <c r="C37" s="19" t="s">
        <v>72</v>
      </c>
      <c r="D37" s="43" t="s">
        <v>77</v>
      </c>
      <c r="E37" s="42">
        <f>222800</f>
        <v>222800</v>
      </c>
      <c r="F37" s="42">
        <f t="shared" si="1"/>
        <v>222800</v>
      </c>
      <c r="G37" s="42">
        <f>140200</f>
        <v>140200</v>
      </c>
      <c r="H37" s="42"/>
    </row>
    <row r="38" spans="1:8" ht="12.75" customHeight="1">
      <c r="A38" s="38" t="s">
        <v>147</v>
      </c>
      <c r="B38" s="43" t="s">
        <v>49</v>
      </c>
      <c r="C38" s="19" t="s">
        <v>403</v>
      </c>
      <c r="D38" s="43" t="s">
        <v>77</v>
      </c>
      <c r="E38" s="42">
        <f>52000</f>
        <v>52000</v>
      </c>
      <c r="F38" s="42">
        <f t="shared" si="1"/>
        <v>52000</v>
      </c>
      <c r="G38" s="42">
        <f>37600</f>
        <v>37600</v>
      </c>
      <c r="H38" s="42"/>
    </row>
    <row r="39" spans="1:8">
      <c r="A39" s="33" t="s">
        <v>149</v>
      </c>
      <c r="B39" s="13" t="s">
        <v>53</v>
      </c>
      <c r="C39" s="19" t="s">
        <v>55</v>
      </c>
      <c r="D39" s="13" t="s">
        <v>77</v>
      </c>
      <c r="E39" s="21">
        <f>70600</f>
        <v>70600</v>
      </c>
      <c r="F39" s="21">
        <f t="shared" si="1"/>
        <v>70600</v>
      </c>
      <c r="G39" s="21">
        <f>44900</f>
        <v>44900</v>
      </c>
      <c r="H39" s="21"/>
    </row>
    <row r="40" spans="1:8" ht="12" customHeight="1">
      <c r="A40" s="38" t="s">
        <v>151</v>
      </c>
      <c r="B40" s="258" t="s">
        <v>57</v>
      </c>
      <c r="C40" s="19" t="s">
        <v>75</v>
      </c>
      <c r="D40" s="13"/>
      <c r="E40" s="42">
        <f>SUM(E41:E46)</f>
        <v>10300</v>
      </c>
      <c r="F40" s="42">
        <f>SUM(F41:F46)</f>
        <v>10300</v>
      </c>
      <c r="G40" s="42">
        <f>SUM(G41:G46)</f>
        <v>0</v>
      </c>
      <c r="H40" s="42">
        <f>SUM(H41:H46)</f>
        <v>0</v>
      </c>
    </row>
    <row r="41" spans="1:8" ht="25.5">
      <c r="A41" s="38" t="s">
        <v>152</v>
      </c>
      <c r="B41" s="290"/>
      <c r="C41" s="58" t="s">
        <v>404</v>
      </c>
      <c r="D41" s="189" t="s">
        <v>77</v>
      </c>
      <c r="E41" s="136">
        <v>3000</v>
      </c>
      <c r="F41" s="136">
        <f t="shared" si="1"/>
        <v>3000</v>
      </c>
      <c r="G41" s="42"/>
      <c r="H41" s="42"/>
    </row>
    <row r="42" spans="1:8">
      <c r="A42" s="38" t="s">
        <v>153</v>
      </c>
      <c r="B42" s="290"/>
      <c r="C42" s="58" t="s">
        <v>405</v>
      </c>
      <c r="D42" s="189" t="s">
        <v>77</v>
      </c>
      <c r="E42" s="136">
        <f>4000-4000</f>
        <v>0</v>
      </c>
      <c r="F42" s="136">
        <f t="shared" si="1"/>
        <v>0</v>
      </c>
      <c r="G42" s="42"/>
      <c r="H42" s="42"/>
    </row>
    <row r="43" spans="1:8" ht="25.5" customHeight="1">
      <c r="A43" s="38" t="s">
        <v>154</v>
      </c>
      <c r="B43" s="290"/>
      <c r="C43" s="58" t="s">
        <v>406</v>
      </c>
      <c r="D43" s="189" t="s">
        <v>77</v>
      </c>
      <c r="E43" s="136">
        <v>700</v>
      </c>
      <c r="F43" s="136">
        <f>E43-H43</f>
        <v>700</v>
      </c>
      <c r="G43" s="42"/>
      <c r="H43" s="42"/>
    </row>
    <row r="44" spans="1:8" ht="12.75" customHeight="1">
      <c r="A44" s="38" t="s">
        <v>155</v>
      </c>
      <c r="B44" s="290"/>
      <c r="C44" s="58" t="s">
        <v>407</v>
      </c>
      <c r="D44" s="189" t="s">
        <v>77</v>
      </c>
      <c r="E44" s="136">
        <f>4000-500-1100</f>
        <v>2400</v>
      </c>
      <c r="F44" s="136">
        <f>E44-H44</f>
        <v>2400</v>
      </c>
      <c r="G44" s="42"/>
      <c r="H44" s="42"/>
    </row>
    <row r="45" spans="1:8">
      <c r="A45" s="38" t="s">
        <v>250</v>
      </c>
      <c r="B45" s="290"/>
      <c r="C45" s="58" t="s">
        <v>408</v>
      </c>
      <c r="D45" s="189" t="s">
        <v>77</v>
      </c>
      <c r="E45" s="136">
        <f>3000-1500+1500</f>
        <v>3000</v>
      </c>
      <c r="F45" s="136">
        <f>E45-H45</f>
        <v>3000</v>
      </c>
      <c r="G45" s="42"/>
      <c r="H45" s="42"/>
    </row>
    <row r="46" spans="1:8">
      <c r="A46" s="38" t="s">
        <v>251</v>
      </c>
      <c r="B46" s="259"/>
      <c r="C46" s="58" t="s">
        <v>409</v>
      </c>
      <c r="D46" s="189" t="s">
        <v>77</v>
      </c>
      <c r="E46" s="136">
        <v>1200</v>
      </c>
      <c r="F46" s="136">
        <f>E46-H46</f>
        <v>1200</v>
      </c>
      <c r="G46" s="42"/>
      <c r="H46" s="42"/>
    </row>
    <row r="47" spans="1:8" ht="38.25">
      <c r="A47" s="40" t="s">
        <v>252</v>
      </c>
      <c r="B47" s="32" t="s">
        <v>9</v>
      </c>
      <c r="C47" s="8" t="s">
        <v>17</v>
      </c>
      <c r="D47" s="45"/>
      <c r="E47" s="111">
        <f>E48+E49+E50+E51+E52</f>
        <v>1353500</v>
      </c>
      <c r="F47" s="111">
        <f>F48+F49+F50+F51+F52</f>
        <v>1353500</v>
      </c>
      <c r="G47" s="111">
        <f>G48+G49+G50+G51+G52</f>
        <v>403600</v>
      </c>
      <c r="H47" s="111">
        <f>H48+H49+H50+H51+H52</f>
        <v>0</v>
      </c>
    </row>
    <row r="48" spans="1:8" ht="25.5">
      <c r="A48" s="40" t="s">
        <v>253</v>
      </c>
      <c r="B48" s="41" t="s">
        <v>24</v>
      </c>
      <c r="C48" s="52" t="s">
        <v>18</v>
      </c>
      <c r="D48" s="40">
        <v>10</v>
      </c>
      <c r="E48" s="138">
        <f>229500+4300-1700</f>
        <v>232100</v>
      </c>
      <c r="F48" s="42">
        <f>E48-H48</f>
        <v>232100</v>
      </c>
      <c r="G48" s="205">
        <f>153600</f>
        <v>153600</v>
      </c>
      <c r="H48" s="138">
        <f>1700-1700</f>
        <v>0</v>
      </c>
    </row>
    <row r="49" spans="1:8" ht="25.5">
      <c r="A49" s="40" t="s">
        <v>254</v>
      </c>
      <c r="B49" s="51"/>
      <c r="C49" s="191" t="s">
        <v>304</v>
      </c>
      <c r="D49" s="38">
        <v>10</v>
      </c>
      <c r="E49" s="26">
        <f>7900+1400</f>
        <v>9300</v>
      </c>
      <c r="F49" s="42">
        <f>E49-H49</f>
        <v>9300</v>
      </c>
      <c r="G49" s="29">
        <v>6000</v>
      </c>
      <c r="H49" s="26"/>
    </row>
    <row r="50" spans="1:8">
      <c r="A50" s="40" t="s">
        <v>255</v>
      </c>
      <c r="B50" s="51" t="s">
        <v>25</v>
      </c>
      <c r="C50" s="10" t="s">
        <v>89</v>
      </c>
      <c r="D50" s="39" t="s">
        <v>78</v>
      </c>
      <c r="E50" s="29">
        <f>128700+1000</f>
        <v>129700</v>
      </c>
      <c r="F50" s="42">
        <f>E50-H50</f>
        <v>129700</v>
      </c>
      <c r="G50" s="29">
        <v>76000</v>
      </c>
      <c r="H50" s="27"/>
    </row>
    <row r="51" spans="1:8">
      <c r="A51" s="40" t="s">
        <v>256</v>
      </c>
      <c r="B51" s="51" t="s">
        <v>26</v>
      </c>
      <c r="C51" s="10" t="s">
        <v>88</v>
      </c>
      <c r="D51" s="39" t="s">
        <v>78</v>
      </c>
      <c r="E51" s="29">
        <f>249600</f>
        <v>249600</v>
      </c>
      <c r="F51" s="42">
        <f>E51-H51</f>
        <v>249600</v>
      </c>
      <c r="G51" s="29">
        <f>168000</f>
        <v>168000</v>
      </c>
      <c r="H51" s="29"/>
    </row>
    <row r="52" spans="1:8" ht="25.5">
      <c r="A52" s="40" t="s">
        <v>257</v>
      </c>
      <c r="B52" s="234" t="s">
        <v>188</v>
      </c>
      <c r="C52" s="12" t="s">
        <v>75</v>
      </c>
      <c r="D52" s="39"/>
      <c r="E52" s="29">
        <f>SUM(E53:E65)</f>
        <v>732800</v>
      </c>
      <c r="F52" s="29">
        <f>SUM(F53:F65)</f>
        <v>732800</v>
      </c>
      <c r="G52" s="29">
        <f>SUM(G53:G65)</f>
        <v>0</v>
      </c>
      <c r="H52" s="29">
        <f>SUM(H53:H65)</f>
        <v>0</v>
      </c>
    </row>
    <row r="53" spans="1:8" ht="12.75" customHeight="1">
      <c r="A53" s="38" t="s">
        <v>258</v>
      </c>
      <c r="B53" s="235"/>
      <c r="C53" s="56" t="s">
        <v>410</v>
      </c>
      <c r="D53" s="54" t="s">
        <v>78</v>
      </c>
      <c r="E53" s="59">
        <f>14000+1700</f>
        <v>15700</v>
      </c>
      <c r="F53" s="136">
        <f>E53-H53</f>
        <v>15700</v>
      </c>
      <c r="G53" s="55"/>
      <c r="H53" s="57"/>
    </row>
    <row r="54" spans="1:8" ht="25.5">
      <c r="A54" s="38" t="s">
        <v>259</v>
      </c>
      <c r="B54" s="235"/>
      <c r="C54" s="56" t="s">
        <v>411</v>
      </c>
      <c r="D54" s="54" t="s">
        <v>78</v>
      </c>
      <c r="E54" s="59">
        <v>8000</v>
      </c>
      <c r="F54" s="136">
        <f>E54-H54</f>
        <v>8000</v>
      </c>
      <c r="G54" s="55"/>
      <c r="H54" s="57"/>
    </row>
    <row r="55" spans="1:8" ht="12" customHeight="1">
      <c r="A55" s="38" t="s">
        <v>260</v>
      </c>
      <c r="B55" s="235"/>
      <c r="C55" s="56" t="s">
        <v>412</v>
      </c>
      <c r="D55" s="54" t="s">
        <v>78</v>
      </c>
      <c r="E55" s="59">
        <f>19000-2700-11000</f>
        <v>5300</v>
      </c>
      <c r="F55" s="136">
        <f>E55-H55</f>
        <v>5300</v>
      </c>
      <c r="G55" s="55"/>
      <c r="H55" s="57"/>
    </row>
    <row r="56" spans="1:8" ht="25.5">
      <c r="A56" s="38" t="s">
        <v>261</v>
      </c>
      <c r="B56" s="235"/>
      <c r="C56" s="56" t="s">
        <v>413</v>
      </c>
      <c r="D56" s="54" t="s">
        <v>78</v>
      </c>
      <c r="E56" s="59">
        <v>6000</v>
      </c>
      <c r="F56" s="136">
        <f t="shared" ref="F56:F64" si="2">E56-H56</f>
        <v>6000</v>
      </c>
      <c r="G56" s="55"/>
      <c r="H56" s="57"/>
    </row>
    <row r="57" spans="1:8">
      <c r="A57" s="38" t="s">
        <v>262</v>
      </c>
      <c r="B57" s="235"/>
      <c r="C57" s="56" t="s">
        <v>402</v>
      </c>
      <c r="D57" s="54" t="s">
        <v>78</v>
      </c>
      <c r="E57" s="59">
        <f>18000-18000</f>
        <v>0</v>
      </c>
      <c r="F57" s="136">
        <f t="shared" si="2"/>
        <v>0</v>
      </c>
      <c r="G57" s="55"/>
      <c r="H57" s="57"/>
    </row>
    <row r="58" spans="1:8">
      <c r="A58" s="38" t="s">
        <v>263</v>
      </c>
      <c r="B58" s="235"/>
      <c r="C58" s="56" t="s">
        <v>414</v>
      </c>
      <c r="D58" s="54" t="s">
        <v>78</v>
      </c>
      <c r="E58" s="59">
        <f>20000+3900</f>
        <v>23900</v>
      </c>
      <c r="F58" s="136">
        <f t="shared" si="2"/>
        <v>23900</v>
      </c>
      <c r="G58" s="55"/>
      <c r="H58" s="55"/>
    </row>
    <row r="59" spans="1:8">
      <c r="A59" s="38" t="s">
        <v>264</v>
      </c>
      <c r="B59" s="235"/>
      <c r="C59" s="56" t="s">
        <v>415</v>
      </c>
      <c r="D59" s="54" t="s">
        <v>78</v>
      </c>
      <c r="E59" s="59">
        <v>1000</v>
      </c>
      <c r="F59" s="136">
        <f t="shared" si="2"/>
        <v>1000</v>
      </c>
      <c r="G59" s="55"/>
      <c r="H59" s="55"/>
    </row>
    <row r="60" spans="1:8">
      <c r="A60" s="38" t="s">
        <v>265</v>
      </c>
      <c r="B60" s="235"/>
      <c r="C60" s="56" t="s">
        <v>416</v>
      </c>
      <c r="D60" s="54" t="s">
        <v>78</v>
      </c>
      <c r="E60" s="59">
        <v>3100</v>
      </c>
      <c r="F60" s="136">
        <f t="shared" si="2"/>
        <v>3100</v>
      </c>
      <c r="G60" s="55"/>
      <c r="H60" s="55"/>
    </row>
    <row r="61" spans="1:8">
      <c r="A61" s="38" t="s">
        <v>266</v>
      </c>
      <c r="B61" s="235"/>
      <c r="C61" s="56" t="s">
        <v>417</v>
      </c>
      <c r="D61" s="54" t="s">
        <v>78</v>
      </c>
      <c r="E61" s="59">
        <f>55600+3100+10000</f>
        <v>68700</v>
      </c>
      <c r="F61" s="136">
        <f t="shared" si="2"/>
        <v>68700</v>
      </c>
      <c r="G61" s="55"/>
      <c r="H61" s="57"/>
    </row>
    <row r="62" spans="1:8">
      <c r="A62" s="38" t="s">
        <v>267</v>
      </c>
      <c r="B62" s="235"/>
      <c r="C62" s="56" t="s">
        <v>418</v>
      </c>
      <c r="D62" s="54" t="s">
        <v>78</v>
      </c>
      <c r="E62" s="59">
        <f>10400+2000</f>
        <v>12400</v>
      </c>
      <c r="F62" s="136">
        <f t="shared" si="2"/>
        <v>12400</v>
      </c>
      <c r="G62" s="55"/>
      <c r="H62" s="57"/>
    </row>
    <row r="63" spans="1:8">
      <c r="A63" s="38" t="s">
        <v>268</v>
      </c>
      <c r="B63" s="235"/>
      <c r="C63" s="56" t="s">
        <v>419</v>
      </c>
      <c r="D63" s="54" t="s">
        <v>78</v>
      </c>
      <c r="E63" s="59">
        <f>75000+100+18000</f>
        <v>93100</v>
      </c>
      <c r="F63" s="136">
        <f t="shared" si="2"/>
        <v>93100</v>
      </c>
      <c r="G63" s="55"/>
      <c r="H63" s="57"/>
    </row>
    <row r="64" spans="1:8" ht="12.75" customHeight="1">
      <c r="A64" s="38" t="s">
        <v>269</v>
      </c>
      <c r="B64" s="235"/>
      <c r="C64" s="56" t="s">
        <v>420</v>
      </c>
      <c r="D64" s="54" t="s">
        <v>78</v>
      </c>
      <c r="E64" s="59">
        <f>480000-7400-7000-50000</f>
        <v>415600</v>
      </c>
      <c r="F64" s="136">
        <f t="shared" si="2"/>
        <v>415600</v>
      </c>
      <c r="G64" s="55"/>
      <c r="H64" s="57"/>
    </row>
    <row r="65" spans="1:8">
      <c r="A65" s="38" t="s">
        <v>270</v>
      </c>
      <c r="B65" s="235"/>
      <c r="C65" s="56" t="s">
        <v>421</v>
      </c>
      <c r="D65" s="54" t="s">
        <v>78</v>
      </c>
      <c r="E65" s="59">
        <v>80000</v>
      </c>
      <c r="F65" s="136">
        <f>E65-H65</f>
        <v>80000</v>
      </c>
      <c r="G65" s="55"/>
      <c r="H65" s="57"/>
    </row>
    <row r="66" spans="1:8" ht="38.25">
      <c r="A66" s="38" t="s">
        <v>271</v>
      </c>
      <c r="B66" s="63" t="s">
        <v>60</v>
      </c>
      <c r="C66" s="23" t="s">
        <v>390</v>
      </c>
      <c r="D66" s="47"/>
      <c r="E66" s="111">
        <f>SUM(E67:E74)</f>
        <v>1312800</v>
      </c>
      <c r="F66" s="111">
        <f>SUM(F67:F74)</f>
        <v>1296000</v>
      </c>
      <c r="G66" s="111">
        <f>SUM(G67:G74)</f>
        <v>695400</v>
      </c>
      <c r="H66" s="111">
        <f>SUM(H67:H74)</f>
        <v>16800</v>
      </c>
    </row>
    <row r="67" spans="1:8">
      <c r="A67" s="38" t="s">
        <v>272</v>
      </c>
      <c r="B67" s="37" t="s">
        <v>64</v>
      </c>
      <c r="C67" s="10" t="s">
        <v>61</v>
      </c>
      <c r="D67" s="46" t="s">
        <v>81</v>
      </c>
      <c r="E67" s="24">
        <f>130000+8000+300+500</f>
        <v>138800</v>
      </c>
      <c r="F67" s="42">
        <f t="shared" ref="F67:F73" si="3">E67-H67</f>
        <v>138600</v>
      </c>
      <c r="G67" s="24">
        <f>83600</f>
        <v>83600</v>
      </c>
      <c r="H67" s="24">
        <v>200</v>
      </c>
    </row>
    <row r="68" spans="1:8" ht="25.5">
      <c r="A68" s="38" t="s">
        <v>273</v>
      </c>
      <c r="B68" s="37" t="s">
        <v>65</v>
      </c>
      <c r="C68" s="10" t="s">
        <v>316</v>
      </c>
      <c r="D68" s="39" t="s">
        <v>81</v>
      </c>
      <c r="E68" s="29">
        <f>453000</f>
        <v>453000</v>
      </c>
      <c r="F68" s="42">
        <f t="shared" si="3"/>
        <v>453000</v>
      </c>
      <c r="G68" s="29">
        <f>293900</f>
        <v>293900</v>
      </c>
      <c r="H68" s="29"/>
    </row>
    <row r="69" spans="1:8">
      <c r="A69" s="38" t="s">
        <v>274</v>
      </c>
      <c r="B69" s="37" t="s">
        <v>66</v>
      </c>
      <c r="C69" s="61" t="s">
        <v>80</v>
      </c>
      <c r="D69" s="39" t="s">
        <v>81</v>
      </c>
      <c r="E69" s="29">
        <f>311300+6000+1500+5200+1500</f>
        <v>325500</v>
      </c>
      <c r="F69" s="42">
        <f t="shared" si="3"/>
        <v>324500</v>
      </c>
      <c r="G69" s="29">
        <f>178500</f>
        <v>178500</v>
      </c>
      <c r="H69" s="29">
        <v>1000</v>
      </c>
    </row>
    <row r="70" spans="1:8" ht="25.5">
      <c r="A70" s="38" t="s">
        <v>275</v>
      </c>
      <c r="B70" s="37" t="s">
        <v>67</v>
      </c>
      <c r="C70" s="10" t="s">
        <v>189</v>
      </c>
      <c r="D70" s="39" t="s">
        <v>81</v>
      </c>
      <c r="E70" s="29">
        <f>53000</f>
        <v>53000</v>
      </c>
      <c r="F70" s="42">
        <f t="shared" si="3"/>
        <v>53000</v>
      </c>
      <c r="G70" s="29">
        <f>36000</f>
        <v>36000</v>
      </c>
      <c r="H70" s="29">
        <f>600-600</f>
        <v>0</v>
      </c>
    </row>
    <row r="71" spans="1:8">
      <c r="A71" s="38" t="s">
        <v>276</v>
      </c>
      <c r="B71" s="37" t="s">
        <v>68</v>
      </c>
      <c r="C71" s="61" t="s">
        <v>62</v>
      </c>
      <c r="D71" s="39" t="s">
        <v>81</v>
      </c>
      <c r="E71" s="29">
        <f>51800</f>
        <v>51800</v>
      </c>
      <c r="F71" s="42">
        <f t="shared" si="3"/>
        <v>51800</v>
      </c>
      <c r="G71" s="29">
        <f>34300</f>
        <v>34300</v>
      </c>
      <c r="H71" s="29"/>
    </row>
    <row r="72" spans="1:8" ht="12.75" customHeight="1">
      <c r="A72" s="38" t="s">
        <v>277</v>
      </c>
      <c r="B72" s="37" t="s">
        <v>69</v>
      </c>
      <c r="C72" s="10" t="s">
        <v>305</v>
      </c>
      <c r="D72" s="39" t="s">
        <v>81</v>
      </c>
      <c r="E72" s="29">
        <f>56500</f>
        <v>56500</v>
      </c>
      <c r="F72" s="42">
        <f t="shared" si="3"/>
        <v>56500</v>
      </c>
      <c r="G72" s="29">
        <f>35100</f>
        <v>35100</v>
      </c>
      <c r="H72" s="29"/>
    </row>
    <row r="73" spans="1:8">
      <c r="A73" s="38" t="s">
        <v>278</v>
      </c>
      <c r="B73" s="37" t="s">
        <v>70</v>
      </c>
      <c r="C73" s="10" t="s">
        <v>63</v>
      </c>
      <c r="D73" s="39" t="s">
        <v>81</v>
      </c>
      <c r="E73" s="29">
        <f>70400+3400</f>
        <v>73800</v>
      </c>
      <c r="F73" s="42">
        <f t="shared" si="3"/>
        <v>73200</v>
      </c>
      <c r="G73" s="29">
        <f>34000</f>
        <v>34000</v>
      </c>
      <c r="H73" s="29">
        <v>600</v>
      </c>
    </row>
    <row r="74" spans="1:8" ht="25.5" customHeight="1">
      <c r="A74" s="38" t="s">
        <v>280</v>
      </c>
      <c r="B74" s="234" t="s">
        <v>79</v>
      </c>
      <c r="C74" s="19" t="s">
        <v>19</v>
      </c>
      <c r="D74" s="39"/>
      <c r="E74" s="29">
        <f>SUM(E75:E80)</f>
        <v>160400</v>
      </c>
      <c r="F74" s="29">
        <f>SUM(F75:F80)</f>
        <v>145400</v>
      </c>
      <c r="G74" s="29">
        <f>SUM(G75:G80)</f>
        <v>0</v>
      </c>
      <c r="H74" s="29">
        <f>SUM(H75:H80)</f>
        <v>15000</v>
      </c>
    </row>
    <row r="75" spans="1:8" ht="12.75" customHeight="1">
      <c r="A75" s="38" t="s">
        <v>281</v>
      </c>
      <c r="B75" s="235"/>
      <c r="C75" s="58" t="s">
        <v>422</v>
      </c>
      <c r="D75" s="54" t="s">
        <v>10</v>
      </c>
      <c r="E75" s="59">
        <v>17900</v>
      </c>
      <c r="F75" s="136">
        <f t="shared" ref="F75:F80" si="4">E75-H75</f>
        <v>2900</v>
      </c>
      <c r="G75" s="59"/>
      <c r="H75" s="59">
        <v>15000</v>
      </c>
    </row>
    <row r="76" spans="1:8" ht="51">
      <c r="A76" s="38" t="s">
        <v>282</v>
      </c>
      <c r="B76" s="235"/>
      <c r="C76" s="125" t="s">
        <v>423</v>
      </c>
      <c r="D76" s="113" t="s">
        <v>82</v>
      </c>
      <c r="E76" s="137">
        <v>106400</v>
      </c>
      <c r="F76" s="136">
        <f t="shared" si="4"/>
        <v>106400</v>
      </c>
      <c r="G76" s="137"/>
      <c r="H76" s="137"/>
    </row>
    <row r="77" spans="1:8">
      <c r="A77" s="38" t="s">
        <v>283</v>
      </c>
      <c r="B77" s="235"/>
      <c r="C77" s="58" t="s">
        <v>173</v>
      </c>
      <c r="D77" s="54" t="s">
        <v>81</v>
      </c>
      <c r="E77" s="59">
        <f>10000+15000</f>
        <v>25000</v>
      </c>
      <c r="F77" s="136">
        <f t="shared" si="4"/>
        <v>25000</v>
      </c>
      <c r="G77" s="59"/>
      <c r="H77" s="59">
        <f>4000-4000</f>
        <v>0</v>
      </c>
    </row>
    <row r="78" spans="1:8" ht="12.75" customHeight="1">
      <c r="A78" s="38" t="s">
        <v>284</v>
      </c>
      <c r="B78" s="235"/>
      <c r="C78" s="58" t="s">
        <v>424</v>
      </c>
      <c r="D78" s="54" t="s">
        <v>81</v>
      </c>
      <c r="E78" s="59">
        <f>34000-6000-4900-500-300-5200-1500-11500</f>
        <v>4100</v>
      </c>
      <c r="F78" s="136">
        <f t="shared" si="4"/>
        <v>4100</v>
      </c>
      <c r="G78" s="59"/>
      <c r="H78" s="59"/>
    </row>
    <row r="79" spans="1:8" ht="12.75" customHeight="1">
      <c r="A79" s="38" t="s">
        <v>285</v>
      </c>
      <c r="B79" s="235"/>
      <c r="C79" s="58" t="s">
        <v>172</v>
      </c>
      <c r="D79" s="54" t="s">
        <v>81</v>
      </c>
      <c r="E79" s="59">
        <v>2000</v>
      </c>
      <c r="F79" s="136">
        <f t="shared" si="4"/>
        <v>2000</v>
      </c>
      <c r="G79" s="59"/>
      <c r="H79" s="59"/>
    </row>
    <row r="80" spans="1:8">
      <c r="A80" s="38" t="s">
        <v>286</v>
      </c>
      <c r="B80" s="235"/>
      <c r="C80" s="58" t="s">
        <v>425</v>
      </c>
      <c r="D80" s="54" t="s">
        <v>81</v>
      </c>
      <c r="E80" s="59">
        <v>5000</v>
      </c>
      <c r="F80" s="136">
        <f t="shared" si="4"/>
        <v>5000</v>
      </c>
      <c r="G80" s="59"/>
      <c r="H80" s="59"/>
    </row>
    <row r="81" spans="1:8" ht="38.25">
      <c r="A81" s="38" t="s">
        <v>287</v>
      </c>
      <c r="B81" s="63" t="s">
        <v>20</v>
      </c>
      <c r="C81" s="23" t="s">
        <v>21</v>
      </c>
      <c r="D81" s="46"/>
      <c r="E81" s="111">
        <f>SUM(E82+E89+E90+E91)</f>
        <v>2922700</v>
      </c>
      <c r="F81" s="111">
        <f>SUM(F82+F89+F90+F91)</f>
        <v>2481100</v>
      </c>
      <c r="G81" s="111">
        <f>SUM(G82+G89+G90+G91)</f>
        <v>1246900</v>
      </c>
      <c r="H81" s="111">
        <f>SUM(H82+H89+H90+H91)</f>
        <v>441600</v>
      </c>
    </row>
    <row r="82" spans="1:8" ht="25.5">
      <c r="A82" s="38" t="s">
        <v>288</v>
      </c>
      <c r="B82" s="234" t="s">
        <v>27</v>
      </c>
      <c r="C82" s="10" t="s">
        <v>75</v>
      </c>
      <c r="D82" s="46"/>
      <c r="E82" s="29">
        <f>SUM(E83:E88)</f>
        <v>2415600</v>
      </c>
      <c r="F82" s="29">
        <f>SUM(F83:F88)</f>
        <v>2320600</v>
      </c>
      <c r="G82" s="29">
        <f>SUM(G83:G88)</f>
        <v>1197200</v>
      </c>
      <c r="H82" s="29">
        <f>SUM(H83:H88)</f>
        <v>95000</v>
      </c>
    </row>
    <row r="83" spans="1:8" ht="12.75" customHeight="1">
      <c r="A83" s="38" t="s">
        <v>289</v>
      </c>
      <c r="B83" s="235"/>
      <c r="C83" s="56" t="s">
        <v>343</v>
      </c>
      <c r="D83" s="60" t="s">
        <v>10</v>
      </c>
      <c r="E83" s="62">
        <f>262900-10900</f>
        <v>252000</v>
      </c>
      <c r="F83" s="131">
        <f t="shared" ref="F83:F91" si="5">E83-H83</f>
        <v>250300</v>
      </c>
      <c r="G83" s="62">
        <v>97200</v>
      </c>
      <c r="H83" s="62">
        <f>12600-10900</f>
        <v>1700</v>
      </c>
    </row>
    <row r="84" spans="1:8" ht="25.5">
      <c r="A84" s="38" t="s">
        <v>290</v>
      </c>
      <c r="B84" s="235"/>
      <c r="C84" s="56" t="s">
        <v>19</v>
      </c>
      <c r="D84" s="54" t="s">
        <v>10</v>
      </c>
      <c r="E84" s="116">
        <f>1821900+41300+17300+9500</f>
        <v>1890000</v>
      </c>
      <c r="F84" s="136">
        <f t="shared" si="5"/>
        <v>1796700</v>
      </c>
      <c r="G84" s="116">
        <f>1100000</f>
        <v>1100000</v>
      </c>
      <c r="H84" s="116">
        <f>31200+3500+41300+17300</f>
        <v>93300</v>
      </c>
    </row>
    <row r="85" spans="1:8" ht="25.5">
      <c r="A85" s="38" t="s">
        <v>291</v>
      </c>
      <c r="B85" s="235"/>
      <c r="C85" s="56" t="s">
        <v>181</v>
      </c>
      <c r="D85" s="54" t="s">
        <v>60</v>
      </c>
      <c r="E85" s="29">
        <v>3000</v>
      </c>
      <c r="F85" s="136">
        <f t="shared" si="5"/>
        <v>3000</v>
      </c>
      <c r="G85" s="29"/>
      <c r="H85" s="29"/>
    </row>
    <row r="86" spans="1:8">
      <c r="A86" s="38" t="s">
        <v>292</v>
      </c>
      <c r="B86" s="235"/>
      <c r="C86" s="10" t="s">
        <v>182</v>
      </c>
      <c r="D86" s="60" t="s">
        <v>10</v>
      </c>
      <c r="E86" s="29">
        <v>8800</v>
      </c>
      <c r="F86" s="136">
        <f t="shared" si="5"/>
        <v>8800</v>
      </c>
      <c r="G86" s="29"/>
      <c r="H86" s="29"/>
    </row>
    <row r="87" spans="1:8" ht="25.5">
      <c r="A87" s="38" t="s">
        <v>293</v>
      </c>
      <c r="B87" s="235"/>
      <c r="C87" s="56" t="s">
        <v>426</v>
      </c>
      <c r="D87" s="54" t="s">
        <v>10</v>
      </c>
      <c r="E87" s="116">
        <v>20300</v>
      </c>
      <c r="F87" s="136">
        <f t="shared" si="5"/>
        <v>20300</v>
      </c>
      <c r="G87" s="62"/>
      <c r="H87" s="62"/>
    </row>
    <row r="88" spans="1:8">
      <c r="A88" s="38" t="s">
        <v>294</v>
      </c>
      <c r="B88" s="235"/>
      <c r="C88" s="56" t="s">
        <v>427</v>
      </c>
      <c r="D88" s="54" t="s">
        <v>10</v>
      </c>
      <c r="E88" s="116">
        <f>221500+20000</f>
        <v>241500</v>
      </c>
      <c r="F88" s="136">
        <f t="shared" si="5"/>
        <v>241500</v>
      </c>
      <c r="G88" s="116"/>
      <c r="H88" s="116"/>
    </row>
    <row r="89" spans="1:8" ht="12.75" customHeight="1">
      <c r="A89" s="38" t="s">
        <v>295</v>
      </c>
      <c r="B89" s="41" t="s">
        <v>28</v>
      </c>
      <c r="C89" s="10" t="s">
        <v>306</v>
      </c>
      <c r="D89" s="39" t="s">
        <v>10</v>
      </c>
      <c r="E89" s="26">
        <v>62200</v>
      </c>
      <c r="F89" s="42">
        <f t="shared" si="5"/>
        <v>62200</v>
      </c>
      <c r="G89" s="29">
        <v>45500</v>
      </c>
      <c r="H89" s="116"/>
    </row>
    <row r="90" spans="1:8" ht="25.5" customHeight="1">
      <c r="A90" s="38" t="s">
        <v>296</v>
      </c>
      <c r="B90" s="37" t="s">
        <v>73</v>
      </c>
      <c r="C90" s="10" t="s">
        <v>307</v>
      </c>
      <c r="D90" s="39" t="s">
        <v>10</v>
      </c>
      <c r="E90" s="26">
        <f>434800-4200-5900-10000</f>
        <v>414700</v>
      </c>
      <c r="F90" s="42">
        <f t="shared" si="5"/>
        <v>70400</v>
      </c>
      <c r="G90" s="30"/>
      <c r="H90" s="26">
        <v>344300</v>
      </c>
    </row>
    <row r="91" spans="1:8" ht="12.75" customHeight="1">
      <c r="A91" s="38" t="s">
        <v>297</v>
      </c>
      <c r="B91" s="37" t="s">
        <v>74</v>
      </c>
      <c r="C91" s="61" t="s">
        <v>22</v>
      </c>
      <c r="D91" s="39" t="s">
        <v>60</v>
      </c>
      <c r="E91" s="26">
        <f>30200</f>
        <v>30200</v>
      </c>
      <c r="F91" s="21">
        <f t="shared" si="5"/>
        <v>27900</v>
      </c>
      <c r="G91" s="29">
        <f>4200</f>
        <v>4200</v>
      </c>
      <c r="H91" s="26">
        <v>2300</v>
      </c>
    </row>
    <row r="92" spans="1:8" ht="24.75" customHeight="1">
      <c r="A92" s="38" t="s">
        <v>298</v>
      </c>
      <c r="B92" s="32" t="s">
        <v>23</v>
      </c>
      <c r="C92" s="50" t="s">
        <v>159</v>
      </c>
      <c r="D92" s="31"/>
      <c r="E92" s="31">
        <f>SUM(E93)</f>
        <v>843000</v>
      </c>
      <c r="F92" s="31">
        <f>SUM(F93)</f>
        <v>822000</v>
      </c>
      <c r="G92" s="31">
        <f>SUM(G93)</f>
        <v>0</v>
      </c>
      <c r="H92" s="31">
        <f>SUM(H93)</f>
        <v>21000</v>
      </c>
    </row>
    <row r="93" spans="1:8" ht="25.5">
      <c r="A93" s="38" t="s">
        <v>319</v>
      </c>
      <c r="B93" s="234" t="s">
        <v>29</v>
      </c>
      <c r="C93" s="10" t="s">
        <v>75</v>
      </c>
      <c r="D93" s="46"/>
      <c r="E93" s="26">
        <f>SUM(E94:E98)</f>
        <v>843000</v>
      </c>
      <c r="F93" s="42">
        <f t="shared" ref="F93:F98" si="6">E93-H93</f>
        <v>822000</v>
      </c>
      <c r="G93" s="26">
        <f>SUM(G94:G98)</f>
        <v>0</v>
      </c>
      <c r="H93" s="26">
        <f>SUM(H94:H98)</f>
        <v>21000</v>
      </c>
    </row>
    <row r="94" spans="1:8" ht="12.75" customHeight="1">
      <c r="A94" s="38" t="s">
        <v>299</v>
      </c>
      <c r="B94" s="235"/>
      <c r="C94" s="56" t="s">
        <v>428</v>
      </c>
      <c r="D94" s="54" t="s">
        <v>23</v>
      </c>
      <c r="E94" s="116">
        <f>78000-25800+90600</f>
        <v>142800</v>
      </c>
      <c r="F94" s="136">
        <f t="shared" si="6"/>
        <v>121800</v>
      </c>
      <c r="G94" s="26"/>
      <c r="H94" s="26">
        <f>15000+6000</f>
        <v>21000</v>
      </c>
    </row>
    <row r="95" spans="1:8" ht="25.5">
      <c r="A95" s="38" t="s">
        <v>321</v>
      </c>
      <c r="B95" s="235"/>
      <c r="C95" s="56" t="s">
        <v>429</v>
      </c>
      <c r="D95" s="54" t="s">
        <v>23</v>
      </c>
      <c r="E95" s="116">
        <f>635000+17000</f>
        <v>652000</v>
      </c>
      <c r="F95" s="136">
        <f t="shared" si="6"/>
        <v>652000</v>
      </c>
      <c r="G95" s="26"/>
      <c r="H95" s="27"/>
    </row>
    <row r="96" spans="1:8">
      <c r="A96" s="38" t="s">
        <v>334</v>
      </c>
      <c r="B96" s="235"/>
      <c r="C96" s="56" t="s">
        <v>430</v>
      </c>
      <c r="D96" s="54" t="s">
        <v>23</v>
      </c>
      <c r="E96" s="116">
        <f>20000+10000</f>
        <v>30000</v>
      </c>
      <c r="F96" s="136">
        <f t="shared" si="6"/>
        <v>30000</v>
      </c>
      <c r="G96" s="26"/>
      <c r="H96" s="27"/>
    </row>
    <row r="97" spans="1:12" ht="25.5">
      <c r="A97" s="38" t="s">
        <v>335</v>
      </c>
      <c r="B97" s="235"/>
      <c r="C97" s="56" t="s">
        <v>180</v>
      </c>
      <c r="D97" s="54" t="s">
        <v>23</v>
      </c>
      <c r="E97" s="116">
        <v>15000</v>
      </c>
      <c r="F97" s="136">
        <f t="shared" si="6"/>
        <v>15000</v>
      </c>
      <c r="G97" s="26"/>
      <c r="H97" s="27"/>
      <c r="L97" s="48"/>
    </row>
    <row r="98" spans="1:12">
      <c r="A98" s="38" t="s">
        <v>336</v>
      </c>
      <c r="B98" s="235"/>
      <c r="C98" s="56" t="s">
        <v>431</v>
      </c>
      <c r="D98" s="54" t="s">
        <v>23</v>
      </c>
      <c r="E98" s="116">
        <v>3200</v>
      </c>
      <c r="F98" s="136">
        <f t="shared" si="6"/>
        <v>3200</v>
      </c>
      <c r="G98" s="22"/>
      <c r="H98" s="9"/>
    </row>
    <row r="99" spans="1:12" ht="25.5">
      <c r="A99" s="38" t="s">
        <v>432</v>
      </c>
      <c r="B99" s="63" t="s">
        <v>82</v>
      </c>
      <c r="C99" s="23" t="s">
        <v>308</v>
      </c>
      <c r="D99" s="65"/>
      <c r="E99" s="64">
        <f>SUM(E100)</f>
        <v>815700</v>
      </c>
      <c r="F99" s="64">
        <f>SUM(F100)</f>
        <v>779900</v>
      </c>
      <c r="G99" s="64">
        <f>SUM(G100)</f>
        <v>69600</v>
      </c>
      <c r="H99" s="64">
        <f>SUM(H100)</f>
        <v>35800</v>
      </c>
    </row>
    <row r="100" spans="1:12" ht="25.5">
      <c r="A100" s="38" t="s">
        <v>433</v>
      </c>
      <c r="B100" s="234" t="s">
        <v>87</v>
      </c>
      <c r="C100" s="10" t="s">
        <v>75</v>
      </c>
      <c r="D100" s="66"/>
      <c r="E100" s="26">
        <f>SUM(E101:E107)</f>
        <v>815700</v>
      </c>
      <c r="F100" s="26">
        <f>SUM(F101:F107)</f>
        <v>779900</v>
      </c>
      <c r="G100" s="26">
        <f>SUM(G101:G107)</f>
        <v>69600</v>
      </c>
      <c r="H100" s="26">
        <f>SUM(H101:H107)</f>
        <v>35800</v>
      </c>
    </row>
    <row r="101" spans="1:12">
      <c r="A101" s="38" t="s">
        <v>434</v>
      </c>
      <c r="B101" s="235"/>
      <c r="C101" s="56" t="s">
        <v>174</v>
      </c>
      <c r="D101" s="113" t="s">
        <v>10</v>
      </c>
      <c r="E101" s="206">
        <v>22000</v>
      </c>
      <c r="F101" s="136">
        <f t="shared" ref="F101:F109" si="7">E101-H101</f>
        <v>22000</v>
      </c>
      <c r="G101" s="116"/>
      <c r="H101" s="117"/>
    </row>
    <row r="102" spans="1:12">
      <c r="A102" s="38" t="s">
        <v>435</v>
      </c>
      <c r="B102" s="235"/>
      <c r="C102" s="56" t="s">
        <v>179</v>
      </c>
      <c r="D102" s="135" t="s">
        <v>10</v>
      </c>
      <c r="E102" s="207">
        <f>68000+8000</f>
        <v>76000</v>
      </c>
      <c r="F102" s="131">
        <f t="shared" si="7"/>
        <v>66500</v>
      </c>
      <c r="G102" s="62"/>
      <c r="H102" s="62">
        <f>38000-18000-5500-5000</f>
        <v>9500</v>
      </c>
    </row>
    <row r="103" spans="1:12">
      <c r="A103" s="38" t="s">
        <v>436</v>
      </c>
      <c r="B103" s="235"/>
      <c r="C103" s="56" t="s">
        <v>437</v>
      </c>
      <c r="D103" s="113" t="s">
        <v>10</v>
      </c>
      <c r="E103" s="206">
        <f>267100-11200-5100-17300-15000+3300</f>
        <v>221800</v>
      </c>
      <c r="F103" s="136">
        <f t="shared" si="7"/>
        <v>221800</v>
      </c>
      <c r="G103" s="62"/>
      <c r="H103" s="97"/>
    </row>
    <row r="104" spans="1:12">
      <c r="A104" s="38" t="s">
        <v>438</v>
      </c>
      <c r="B104" s="235"/>
      <c r="C104" s="56" t="s">
        <v>439</v>
      </c>
      <c r="D104" s="113" t="s">
        <v>82</v>
      </c>
      <c r="E104" s="59">
        <f>7600-500-200</f>
        <v>6900</v>
      </c>
      <c r="F104" s="136">
        <f t="shared" si="7"/>
        <v>6900</v>
      </c>
      <c r="G104" s="62"/>
      <c r="H104" s="97"/>
    </row>
    <row r="105" spans="1:12" ht="12.75" customHeight="1">
      <c r="A105" s="38" t="s">
        <v>440</v>
      </c>
      <c r="B105" s="235"/>
      <c r="C105" s="56" t="s">
        <v>175</v>
      </c>
      <c r="D105" s="113" t="s">
        <v>82</v>
      </c>
      <c r="E105" s="59">
        <f>55500-5800</f>
        <v>49700</v>
      </c>
      <c r="F105" s="136">
        <f t="shared" si="7"/>
        <v>49700</v>
      </c>
      <c r="G105" s="62"/>
      <c r="H105" s="116"/>
    </row>
    <row r="106" spans="1:12" ht="24.75" customHeight="1">
      <c r="A106" s="38" t="s">
        <v>441</v>
      </c>
      <c r="B106" s="235"/>
      <c r="C106" s="56" t="s">
        <v>391</v>
      </c>
      <c r="D106" s="113" t="s">
        <v>82</v>
      </c>
      <c r="E106" s="59">
        <v>5800</v>
      </c>
      <c r="F106" s="136">
        <f t="shared" si="7"/>
        <v>5800</v>
      </c>
      <c r="G106" s="62"/>
      <c r="H106" s="116"/>
    </row>
    <row r="107" spans="1:12" ht="25.5">
      <c r="A107" s="38" t="s">
        <v>443</v>
      </c>
      <c r="B107" s="235"/>
      <c r="C107" s="56" t="s">
        <v>442</v>
      </c>
      <c r="D107" s="113" t="s">
        <v>82</v>
      </c>
      <c r="E107" s="59">
        <f>427000+6500</f>
        <v>433500</v>
      </c>
      <c r="F107" s="136">
        <f t="shared" si="7"/>
        <v>407200</v>
      </c>
      <c r="G107" s="116">
        <v>69600</v>
      </c>
      <c r="H107" s="116">
        <f>48000-14100-7600</f>
        <v>26300</v>
      </c>
    </row>
    <row r="108" spans="1:12">
      <c r="A108" s="38" t="s">
        <v>444</v>
      </c>
      <c r="B108" s="63" t="s">
        <v>83</v>
      </c>
      <c r="C108" s="23" t="s">
        <v>85</v>
      </c>
      <c r="D108" s="65"/>
      <c r="E108" s="64">
        <f>SUM(E109)</f>
        <v>135900</v>
      </c>
      <c r="F108" s="64">
        <f>SUM(F109)</f>
        <v>49700</v>
      </c>
      <c r="G108" s="64">
        <f>SUM(G109)</f>
        <v>200</v>
      </c>
      <c r="H108" s="64">
        <f>SUM(H109)</f>
        <v>86200</v>
      </c>
    </row>
    <row r="109" spans="1:12">
      <c r="A109" s="38" t="s">
        <v>445</v>
      </c>
      <c r="B109" s="41" t="s">
        <v>86</v>
      </c>
      <c r="C109" s="10" t="s">
        <v>84</v>
      </c>
      <c r="D109" s="66" t="s">
        <v>10</v>
      </c>
      <c r="E109" s="22">
        <f>364900+500-230900+1400</f>
        <v>135900</v>
      </c>
      <c r="F109" s="136">
        <f t="shared" si="7"/>
        <v>49700</v>
      </c>
      <c r="G109" s="208">
        <v>200</v>
      </c>
      <c r="H109" s="209">
        <f>316900+200-230900</f>
        <v>86200</v>
      </c>
    </row>
    <row r="110" spans="1:12">
      <c r="A110" s="7" t="s">
        <v>447</v>
      </c>
      <c r="B110" s="14"/>
      <c r="C110" s="15" t="s">
        <v>446</v>
      </c>
      <c r="D110" s="16"/>
      <c r="E110" s="28">
        <f>E108+E99+E92+E81+E66+E47+E18</f>
        <v>11472000</v>
      </c>
      <c r="F110" s="28">
        <f>F108+F99+F92+F81+F66+F47+F18</f>
        <v>10848100</v>
      </c>
      <c r="G110" s="28">
        <f>G108+G99+G81+G66+G47+G18</f>
        <v>4502200</v>
      </c>
      <c r="H110" s="28">
        <f>H108+H99+H92+H81+H66+H47+H18</f>
        <v>623900</v>
      </c>
    </row>
    <row r="111" spans="1:12" ht="25.5">
      <c r="A111" s="68" t="s">
        <v>449</v>
      </c>
      <c r="B111" s="161"/>
      <c r="C111" s="210" t="s">
        <v>448</v>
      </c>
      <c r="D111" s="134"/>
      <c r="E111" s="134">
        <v>344300</v>
      </c>
      <c r="F111" s="134">
        <f>E111-H111</f>
        <v>0</v>
      </c>
      <c r="G111" s="134"/>
      <c r="H111" s="134">
        <v>344300</v>
      </c>
    </row>
    <row r="112" spans="1:12">
      <c r="A112" s="68" t="s">
        <v>467</v>
      </c>
      <c r="B112" s="161"/>
      <c r="C112" s="164" t="s">
        <v>190</v>
      </c>
      <c r="D112" s="211"/>
      <c r="E112" s="211">
        <f>E110-E111</f>
        <v>11127700</v>
      </c>
      <c r="F112" s="211">
        <f>F110-F111</f>
        <v>10848100</v>
      </c>
      <c r="G112" s="211">
        <f>G110-G111</f>
        <v>4502200</v>
      </c>
      <c r="H112" s="211">
        <f>H110-H111</f>
        <v>279600</v>
      </c>
    </row>
    <row r="113" spans="1:8">
      <c r="A113" s="98"/>
      <c r="B113" s="99"/>
      <c r="C113" s="100"/>
      <c r="D113" s="101"/>
      <c r="E113" s="102"/>
      <c r="F113" s="102"/>
      <c r="G113" s="102"/>
      <c r="H113" s="102"/>
    </row>
    <row r="114" spans="1:8">
      <c r="A114" s="286" t="s">
        <v>50</v>
      </c>
      <c r="B114" s="286"/>
      <c r="C114" s="286"/>
      <c r="D114" s="286"/>
      <c r="E114" s="286"/>
      <c r="F114" s="286"/>
      <c r="G114" s="286"/>
      <c r="H114" s="286"/>
    </row>
    <row r="117" spans="1:8">
      <c r="E117" t="s">
        <v>317</v>
      </c>
    </row>
  </sheetData>
  <mergeCells count="21">
    <mergeCell ref="F1:H1"/>
    <mergeCell ref="F2:H2"/>
    <mergeCell ref="F3:H3"/>
    <mergeCell ref="F4:H4"/>
    <mergeCell ref="A8:H10"/>
    <mergeCell ref="A13:A16"/>
    <mergeCell ref="E14:E16"/>
    <mergeCell ref="B13:B16"/>
    <mergeCell ref="A114:H114"/>
    <mergeCell ref="B40:B46"/>
    <mergeCell ref="B52:B65"/>
    <mergeCell ref="B74:B80"/>
    <mergeCell ref="B82:B88"/>
    <mergeCell ref="B100:B107"/>
    <mergeCell ref="D13:D16"/>
    <mergeCell ref="H15:H16"/>
    <mergeCell ref="B93:B98"/>
    <mergeCell ref="E13:H13"/>
    <mergeCell ref="F15:G15"/>
    <mergeCell ref="C13:C16"/>
    <mergeCell ref="F14:H14"/>
  </mergeCells>
  <phoneticPr fontId="5" type="noConversion"/>
  <pageMargins left="0.78740157480314965" right="0.19685039370078741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86"/>
  <sheetViews>
    <sheetView zoomScale="135" zoomScaleNormal="135" workbookViewId="0">
      <selection activeCell="B7" sqref="B7"/>
    </sheetView>
  </sheetViews>
  <sheetFormatPr defaultRowHeight="12.75"/>
  <cols>
    <col min="1" max="1" width="4" customWidth="1"/>
    <col min="2" max="2" width="46.85546875" customWidth="1"/>
    <col min="3" max="3" width="10.140625" customWidth="1"/>
    <col min="4" max="4" width="10" customWidth="1"/>
    <col min="5" max="5" width="11" customWidth="1"/>
    <col min="6" max="6" width="10.140625" customWidth="1"/>
  </cols>
  <sheetData>
    <row r="1" spans="1:7" ht="14.1" customHeight="1">
      <c r="A1" s="3"/>
      <c r="B1" s="3"/>
      <c r="C1" s="36"/>
      <c r="D1" s="250" t="s">
        <v>7</v>
      </c>
      <c r="E1" s="250"/>
      <c r="F1" s="250"/>
    </row>
    <row r="2" spans="1:7" ht="14.1" customHeight="1">
      <c r="A2" s="3"/>
      <c r="B2" s="3"/>
      <c r="C2" s="36"/>
      <c r="D2" s="250" t="s">
        <v>344</v>
      </c>
      <c r="E2" s="250"/>
      <c r="F2" s="250"/>
    </row>
    <row r="3" spans="1:7" ht="14.1" customHeight="1">
      <c r="A3" s="1"/>
      <c r="B3" s="3"/>
      <c r="C3" s="36"/>
      <c r="D3" s="250" t="s">
        <v>387</v>
      </c>
      <c r="E3" s="250"/>
      <c r="F3" s="250"/>
    </row>
    <row r="4" spans="1:7" ht="14.1" customHeight="1">
      <c r="A4" s="1"/>
      <c r="B4" s="17"/>
      <c r="C4" s="17"/>
      <c r="D4" s="256" t="s">
        <v>192</v>
      </c>
      <c r="E4" s="256"/>
      <c r="F4" s="256"/>
    </row>
    <row r="5" spans="1:7" ht="15" customHeight="1">
      <c r="A5" s="1"/>
      <c r="B5" s="17"/>
      <c r="C5" s="17"/>
      <c r="D5" s="17" t="s">
        <v>346</v>
      </c>
      <c r="E5" s="17"/>
      <c r="F5" s="17"/>
    </row>
    <row r="6" spans="1:7">
      <c r="A6" s="1"/>
      <c r="B6" s="17"/>
      <c r="C6" s="17"/>
      <c r="D6" s="17" t="s">
        <v>472</v>
      </c>
      <c r="E6" s="17"/>
      <c r="F6" s="17"/>
    </row>
    <row r="7" spans="1:7" ht="12.75" customHeight="1">
      <c r="A7" s="1"/>
      <c r="B7" s="17"/>
      <c r="C7" s="17"/>
      <c r="D7" s="17" t="s">
        <v>388</v>
      </c>
      <c r="E7" s="17"/>
      <c r="F7" s="17"/>
      <c r="G7" s="49"/>
    </row>
    <row r="8" spans="1:7" ht="12.75" customHeight="1">
      <c r="A8" s="1"/>
      <c r="B8" s="17"/>
      <c r="C8" s="17"/>
      <c r="D8" s="199"/>
      <c r="E8" s="199"/>
      <c r="F8" s="199"/>
      <c r="G8" s="34"/>
    </row>
    <row r="9" spans="1:7" ht="12.75" customHeight="1">
      <c r="A9" s="255" t="s">
        <v>451</v>
      </c>
      <c r="B9" s="255"/>
      <c r="C9" s="255"/>
      <c r="D9" s="255"/>
      <c r="E9" s="255"/>
      <c r="F9" s="255"/>
      <c r="G9" s="34"/>
    </row>
    <row r="10" spans="1:7" ht="12.75" customHeight="1">
      <c r="A10" s="255"/>
      <c r="B10" s="255"/>
      <c r="C10" s="255"/>
      <c r="D10" s="255"/>
      <c r="E10" s="255"/>
      <c r="F10" s="255"/>
      <c r="G10" s="34"/>
    </row>
    <row r="11" spans="1:7" ht="12.75" customHeight="1">
      <c r="A11" s="255"/>
      <c r="B11" s="255"/>
      <c r="C11" s="255"/>
      <c r="D11" s="255"/>
      <c r="E11" s="255"/>
      <c r="F11" s="255"/>
      <c r="G11" s="34"/>
    </row>
    <row r="12" spans="1:7">
      <c r="A12" s="1"/>
      <c r="B12" s="3"/>
      <c r="C12" s="277" t="s">
        <v>389</v>
      </c>
      <c r="D12" s="277"/>
      <c r="E12" s="277"/>
      <c r="F12" s="277"/>
    </row>
    <row r="13" spans="1:7" ht="12.75" customHeight="1">
      <c r="A13" s="237" t="s">
        <v>0</v>
      </c>
      <c r="B13" s="237" t="s">
        <v>165</v>
      </c>
      <c r="C13" s="294" t="s">
        <v>178</v>
      </c>
      <c r="D13" s="245"/>
      <c r="E13" s="245"/>
      <c r="F13" s="246"/>
    </row>
    <row r="14" spans="1:7">
      <c r="A14" s="238"/>
      <c r="B14" s="293"/>
      <c r="C14" s="237" t="s">
        <v>3</v>
      </c>
      <c r="D14" s="287" t="s">
        <v>4</v>
      </c>
      <c r="E14" s="287"/>
      <c r="F14" s="288"/>
    </row>
    <row r="15" spans="1:7" ht="12.75" customHeight="1">
      <c r="A15" s="238"/>
      <c r="B15" s="293"/>
      <c r="C15" s="238"/>
      <c r="D15" s="289" t="s">
        <v>176</v>
      </c>
      <c r="E15" s="289"/>
      <c r="F15" s="237" t="s">
        <v>52</v>
      </c>
    </row>
    <row r="16" spans="1:7" ht="25.5" customHeight="1">
      <c r="A16" s="238"/>
      <c r="B16" s="293"/>
      <c r="C16" s="239"/>
      <c r="D16" s="128" t="s">
        <v>177</v>
      </c>
      <c r="E16" s="130" t="s">
        <v>8</v>
      </c>
      <c r="F16" s="239"/>
    </row>
    <row r="17" spans="1:10">
      <c r="A17" s="5">
        <v>1</v>
      </c>
      <c r="B17" s="129">
        <v>3</v>
      </c>
      <c r="C17" s="130">
        <v>4</v>
      </c>
      <c r="D17" s="130">
        <v>5</v>
      </c>
      <c r="E17" s="130">
        <v>6</v>
      </c>
      <c r="F17" s="130">
        <v>7</v>
      </c>
    </row>
    <row r="18" spans="1:10">
      <c r="A18" s="141" t="s">
        <v>124</v>
      </c>
      <c r="B18" s="18" t="s">
        <v>12</v>
      </c>
      <c r="C18" s="212">
        <f>1001200+10200+11400+5600-13200+1300+5700</f>
        <v>1022200</v>
      </c>
      <c r="D18" s="20">
        <f>C18-F18</f>
        <v>1009300</v>
      </c>
      <c r="E18" s="20">
        <f>593000+7800+4300-10100+1300</f>
        <v>596300</v>
      </c>
      <c r="F18" s="20">
        <f>1500+11400</f>
        <v>12900</v>
      </c>
    </row>
    <row r="19" spans="1:10">
      <c r="A19" s="141" t="s">
        <v>126</v>
      </c>
      <c r="B19" s="18" t="s">
        <v>325</v>
      </c>
      <c r="C19" s="212">
        <f>706100+5400+300+3600+1600-6200+23400</f>
        <v>734200</v>
      </c>
      <c r="D19" s="20">
        <f t="shared" ref="D19:D52" si="0">C19-F19</f>
        <v>731200</v>
      </c>
      <c r="E19" s="20">
        <f>400700+4100+2800-4700+17900+100</f>
        <v>420900</v>
      </c>
      <c r="F19" s="20">
        <v>3000</v>
      </c>
      <c r="J19" s="48"/>
    </row>
    <row r="20" spans="1:10" ht="12.75" customHeight="1">
      <c r="A20" s="142" t="s">
        <v>127</v>
      </c>
      <c r="B20" s="18" t="s">
        <v>360</v>
      </c>
      <c r="C20" s="213">
        <f>652400+3900+400+4600+10600-100+7000</f>
        <v>678800</v>
      </c>
      <c r="D20" s="20">
        <f t="shared" si="0"/>
        <v>676200</v>
      </c>
      <c r="E20" s="110">
        <f>379700+3000+3500-100+2700</f>
        <v>388800</v>
      </c>
      <c r="F20" s="110">
        <f>800+1800</f>
        <v>2600</v>
      </c>
    </row>
    <row r="21" spans="1:10" ht="12.75" customHeight="1">
      <c r="A21" s="142" t="s">
        <v>128</v>
      </c>
      <c r="B21" s="18" t="s">
        <v>326</v>
      </c>
      <c r="C21" s="213">
        <f>719200+5700+400+4200+5900+3500+900+1400</f>
        <v>741200</v>
      </c>
      <c r="D21" s="20">
        <f>C21-F21</f>
        <v>741200</v>
      </c>
      <c r="E21" s="110">
        <f>445300+4400+3200+2700+700+3400</f>
        <v>459700</v>
      </c>
      <c r="F21" s="110"/>
    </row>
    <row r="22" spans="1:10" ht="12.75" customHeight="1">
      <c r="A22" s="142" t="s">
        <v>129</v>
      </c>
      <c r="B22" s="18" t="s">
        <v>361</v>
      </c>
      <c r="C22" s="110">
        <f>941700+3200+12200+300+5100+11000+7800+27500</f>
        <v>1008800</v>
      </c>
      <c r="D22" s="20">
        <f t="shared" si="0"/>
        <v>1008800</v>
      </c>
      <c r="E22" s="110">
        <f>609200+9300+3800+6000+18300</f>
        <v>646600</v>
      </c>
      <c r="F22" s="110"/>
    </row>
    <row r="23" spans="1:10" ht="12.75" customHeight="1">
      <c r="A23" s="142" t="s">
        <v>130</v>
      </c>
      <c r="B23" s="18" t="s">
        <v>362</v>
      </c>
      <c r="C23" s="213">
        <f>939400+7200+400+5700+6400-18700+36400</f>
        <v>976800</v>
      </c>
      <c r="D23" s="20">
        <f t="shared" si="0"/>
        <v>966100</v>
      </c>
      <c r="E23" s="110">
        <f>577400+5500+4900-14300+25500</f>
        <v>599000</v>
      </c>
      <c r="F23" s="110">
        <f>700+5700+4300</f>
        <v>10700</v>
      </c>
    </row>
    <row r="24" spans="1:10" ht="12.75" customHeight="1">
      <c r="A24" s="142" t="s">
        <v>131</v>
      </c>
      <c r="B24" s="18" t="s">
        <v>342</v>
      </c>
      <c r="C24" s="213">
        <f>466400+2400+400+8900+5900+4200-200+21800</f>
        <v>509800</v>
      </c>
      <c r="D24" s="20">
        <f t="shared" si="0"/>
        <v>509800</v>
      </c>
      <c r="E24" s="110">
        <f>285400+1800+6800+3200-200+13800</f>
        <v>310800</v>
      </c>
      <c r="F24" s="110"/>
    </row>
    <row r="25" spans="1:10" ht="12.75" customHeight="1">
      <c r="A25" s="142" t="s">
        <v>132</v>
      </c>
      <c r="B25" s="18" t="s">
        <v>14</v>
      </c>
      <c r="C25" s="213">
        <f>443800+2300+400+1000+3200-9700+18700</f>
        <v>459700</v>
      </c>
      <c r="D25" s="20">
        <f t="shared" si="0"/>
        <v>459700</v>
      </c>
      <c r="E25" s="110">
        <f>276900+1800+2500-7400+13000</f>
        <v>286800</v>
      </c>
      <c r="F25" s="110"/>
    </row>
    <row r="26" spans="1:10" ht="12.75" customHeight="1">
      <c r="A26" s="142" t="s">
        <v>133</v>
      </c>
      <c r="B26" s="18" t="s">
        <v>327</v>
      </c>
      <c r="C26" s="213">
        <f>242300+1300+400+1500-8400+24000</f>
        <v>261100</v>
      </c>
      <c r="D26" s="20">
        <f t="shared" si="0"/>
        <v>261100</v>
      </c>
      <c r="E26" s="110">
        <f>152900+1000+1200-6400+17700</f>
        <v>166400</v>
      </c>
      <c r="F26" s="110"/>
    </row>
    <row r="27" spans="1:10" ht="12.75" customHeight="1">
      <c r="A27" s="142" t="s">
        <v>134</v>
      </c>
      <c r="B27" s="18" t="s">
        <v>328</v>
      </c>
      <c r="C27" s="213">
        <f>330300+1700+400+1000+3500+2600+6200+21300</f>
        <v>367000</v>
      </c>
      <c r="D27" s="20">
        <f t="shared" si="0"/>
        <v>367000</v>
      </c>
      <c r="E27" s="110">
        <f>204100+1300+2700+2000+4700+17500</f>
        <v>232300</v>
      </c>
      <c r="F27" s="110"/>
    </row>
    <row r="28" spans="1:10" ht="12.75" customHeight="1">
      <c r="A28" s="142" t="s">
        <v>135</v>
      </c>
      <c r="B28" s="18" t="s">
        <v>329</v>
      </c>
      <c r="C28" s="213">
        <f>343100+1900+300+2500+4500+39000</f>
        <v>391300</v>
      </c>
      <c r="D28" s="20">
        <f t="shared" si="0"/>
        <v>391300</v>
      </c>
      <c r="E28" s="110">
        <f>212400+1500+1900+3400+28600</f>
        <v>247800</v>
      </c>
      <c r="F28" s="110"/>
    </row>
    <row r="29" spans="1:10" ht="12.75" customHeight="1">
      <c r="A29" s="142" t="s">
        <v>136</v>
      </c>
      <c r="B29" s="18" t="s">
        <v>363</v>
      </c>
      <c r="C29" s="110">
        <f>342800+2200+300+1700-14600+26900</f>
        <v>359300</v>
      </c>
      <c r="D29" s="20">
        <f t="shared" si="0"/>
        <v>358700</v>
      </c>
      <c r="E29" s="110">
        <f>221300+1700+1300-11100+20300</f>
        <v>233500</v>
      </c>
      <c r="F29" s="110">
        <v>600</v>
      </c>
    </row>
    <row r="30" spans="1:10" ht="12.75" customHeight="1">
      <c r="A30" s="142" t="s">
        <v>137</v>
      </c>
      <c r="B30" s="18" t="s">
        <v>15</v>
      </c>
      <c r="C30" s="212">
        <f>357600+3000-2500+6500</f>
        <v>364600</v>
      </c>
      <c r="D30" s="20">
        <f t="shared" si="0"/>
        <v>364600</v>
      </c>
      <c r="E30" s="20">
        <f>194900+2300-1900+3200</f>
        <v>198500</v>
      </c>
      <c r="F30" s="20"/>
    </row>
    <row r="31" spans="1:10" ht="12.75" customHeight="1">
      <c r="A31" s="142" t="s">
        <v>138</v>
      </c>
      <c r="B31" s="18" t="s">
        <v>16</v>
      </c>
      <c r="C31" s="212">
        <f>526700+4800-2900+6200</f>
        <v>534800</v>
      </c>
      <c r="D31" s="20">
        <f t="shared" si="0"/>
        <v>534200</v>
      </c>
      <c r="E31" s="20">
        <f>313700+3700-2200+3000</f>
        <v>318200</v>
      </c>
      <c r="F31" s="20">
        <f>800-200</f>
        <v>600</v>
      </c>
    </row>
    <row r="32" spans="1:10" ht="12.75" customHeight="1">
      <c r="A32" s="142" t="s">
        <v>139</v>
      </c>
      <c r="B32" s="18" t="s">
        <v>171</v>
      </c>
      <c r="C32" s="212">
        <f>279300+2200-1000+4000</f>
        <v>284500</v>
      </c>
      <c r="D32" s="20">
        <f t="shared" si="0"/>
        <v>284500</v>
      </c>
      <c r="E32" s="20">
        <f>157500+1700-800+2500</f>
        <v>160900</v>
      </c>
      <c r="F32" s="20"/>
    </row>
    <row r="33" spans="1:11">
      <c r="A33" s="142" t="s">
        <v>140</v>
      </c>
      <c r="B33" s="18" t="s">
        <v>330</v>
      </c>
      <c r="C33" s="213">
        <f>162000+300+800</f>
        <v>163100</v>
      </c>
      <c r="D33" s="20">
        <f t="shared" si="0"/>
        <v>162500</v>
      </c>
      <c r="E33" s="110">
        <f>116800+200+600</f>
        <v>117600</v>
      </c>
      <c r="F33" s="110">
        <v>600</v>
      </c>
    </row>
    <row r="34" spans="1:11">
      <c r="A34" s="142" t="s">
        <v>141</v>
      </c>
      <c r="B34" s="18" t="s">
        <v>54</v>
      </c>
      <c r="C34" s="212">
        <f>348300+1500+1000+200</f>
        <v>351000</v>
      </c>
      <c r="D34" s="20">
        <f t="shared" si="0"/>
        <v>350400</v>
      </c>
      <c r="E34" s="20">
        <f>253300+800</f>
        <v>254100</v>
      </c>
      <c r="F34" s="20">
        <v>600</v>
      </c>
    </row>
    <row r="35" spans="1:11">
      <c r="A35" s="142" t="s">
        <v>142</v>
      </c>
      <c r="B35" s="18" t="s">
        <v>323</v>
      </c>
      <c r="C35" s="213">
        <f>159400+500+500+400-800+600-500</f>
        <v>160100</v>
      </c>
      <c r="D35" s="20">
        <f t="shared" si="0"/>
        <v>159500</v>
      </c>
      <c r="E35" s="110">
        <f>104900+300</f>
        <v>105200</v>
      </c>
      <c r="F35" s="110">
        <v>600</v>
      </c>
    </row>
    <row r="36" spans="1:11" ht="12.75" customHeight="1">
      <c r="A36" s="142" t="s">
        <v>143</v>
      </c>
      <c r="B36" s="18" t="s">
        <v>72</v>
      </c>
      <c r="C36" s="213">
        <f>272000+2000+17700</f>
        <v>291700</v>
      </c>
      <c r="D36" s="20">
        <f t="shared" si="0"/>
        <v>291700</v>
      </c>
      <c r="E36" s="110">
        <f>152400+1500</f>
        <v>153900</v>
      </c>
      <c r="F36" s="110"/>
    </row>
    <row r="37" spans="1:11">
      <c r="A37" s="142" t="s">
        <v>145</v>
      </c>
      <c r="B37" s="18" t="s">
        <v>403</v>
      </c>
      <c r="C37" s="110">
        <f>85500+300</f>
        <v>85800</v>
      </c>
      <c r="D37" s="20">
        <f t="shared" si="0"/>
        <v>85800</v>
      </c>
      <c r="E37" s="110">
        <f>63100+200</f>
        <v>63300</v>
      </c>
      <c r="F37" s="110"/>
    </row>
    <row r="38" spans="1:11">
      <c r="A38" s="142" t="s">
        <v>147</v>
      </c>
      <c r="B38" s="18" t="s">
        <v>55</v>
      </c>
      <c r="C38" s="20">
        <f>79200+400-2000</f>
        <v>77600</v>
      </c>
      <c r="D38" s="20">
        <f t="shared" si="0"/>
        <v>77600</v>
      </c>
      <c r="E38" s="20">
        <f>44900+300</f>
        <v>45200</v>
      </c>
      <c r="F38" s="20"/>
    </row>
    <row r="39" spans="1:11" ht="12.75" customHeight="1">
      <c r="A39" s="142" t="s">
        <v>149</v>
      </c>
      <c r="B39" s="23" t="s">
        <v>61</v>
      </c>
      <c r="C39" s="132">
        <f>138200+8000+4100+300+1400-200-500+500</f>
        <v>151800</v>
      </c>
      <c r="D39" s="20">
        <f t="shared" si="0"/>
        <v>151600</v>
      </c>
      <c r="E39" s="28">
        <f>84400+3100+1100</f>
        <v>88600</v>
      </c>
      <c r="F39" s="28">
        <v>200</v>
      </c>
    </row>
    <row r="40" spans="1:11">
      <c r="A40" s="142" t="s">
        <v>151</v>
      </c>
      <c r="B40" s="23" t="s">
        <v>316</v>
      </c>
      <c r="C40" s="132">
        <f>453300+24100+1300-100</f>
        <v>478600</v>
      </c>
      <c r="D40" s="20">
        <f t="shared" si="0"/>
        <v>478600</v>
      </c>
      <c r="E40" s="28">
        <f>293900+18400+1000</f>
        <v>313300</v>
      </c>
      <c r="F40" s="28"/>
    </row>
    <row r="41" spans="1:11" ht="12.75" customHeight="1">
      <c r="A41" s="142" t="s">
        <v>152</v>
      </c>
      <c r="B41" s="23" t="s">
        <v>80</v>
      </c>
      <c r="C41" s="134">
        <f>320600+6000+1500+5600+2100+5200+800+1500</f>
        <v>343300</v>
      </c>
      <c r="D41" s="20">
        <f t="shared" si="0"/>
        <v>342300</v>
      </c>
      <c r="E41" s="111">
        <f>178700+4300+1600</f>
        <v>184600</v>
      </c>
      <c r="F41" s="111">
        <v>1000</v>
      </c>
    </row>
    <row r="42" spans="1:11" ht="12" customHeight="1">
      <c r="A42" s="142" t="s">
        <v>153</v>
      </c>
      <c r="B42" s="23" t="s">
        <v>189</v>
      </c>
      <c r="C42" s="134">
        <f>53300+2500+300</f>
        <v>56100</v>
      </c>
      <c r="D42" s="20">
        <f t="shared" si="0"/>
        <v>56100</v>
      </c>
      <c r="E42" s="111">
        <f>36200+1900+200</f>
        <v>38300</v>
      </c>
      <c r="F42" s="111">
        <f>600-600</f>
        <v>0</v>
      </c>
    </row>
    <row r="43" spans="1:11" ht="12.75" customHeight="1">
      <c r="A43" s="142" t="s">
        <v>154</v>
      </c>
      <c r="B43" s="23" t="s">
        <v>62</v>
      </c>
      <c r="C43" s="134">
        <f>51800+2500+300+100</f>
        <v>54700</v>
      </c>
      <c r="D43" s="20">
        <f t="shared" si="0"/>
        <v>54700</v>
      </c>
      <c r="E43" s="111">
        <f>34300+1900+200</f>
        <v>36400</v>
      </c>
      <c r="F43" s="111"/>
    </row>
    <row r="44" spans="1:11">
      <c r="A44" s="142" t="s">
        <v>155</v>
      </c>
      <c r="B44" s="23" t="s">
        <v>305</v>
      </c>
      <c r="C44" s="134">
        <f>56900+2500+300+100</f>
        <v>59800</v>
      </c>
      <c r="D44" s="20">
        <f t="shared" si="0"/>
        <v>59800</v>
      </c>
      <c r="E44" s="111">
        <f>35100+1900+200</f>
        <v>37200</v>
      </c>
      <c r="F44" s="111"/>
    </row>
    <row r="45" spans="1:11">
      <c r="A45" s="142" t="s">
        <v>250</v>
      </c>
      <c r="B45" s="23" t="s">
        <v>63</v>
      </c>
      <c r="C45" s="134">
        <f>70900+3400+2500+300+100</f>
        <v>77200</v>
      </c>
      <c r="D45" s="20">
        <f t="shared" si="0"/>
        <v>76600</v>
      </c>
      <c r="E45" s="111">
        <f>34200+1900+200</f>
        <v>36300</v>
      </c>
      <c r="F45" s="111">
        <v>600</v>
      </c>
    </row>
    <row r="46" spans="1:11">
      <c r="A46" s="142" t="s">
        <v>251</v>
      </c>
      <c r="B46" s="50" t="s">
        <v>304</v>
      </c>
      <c r="C46" s="134">
        <f>101300+1400+1500+800</f>
        <v>105000</v>
      </c>
      <c r="D46" s="20">
        <f t="shared" si="0"/>
        <v>105000</v>
      </c>
      <c r="E46" s="134">
        <f>66100+1400+1400+1000</f>
        <v>69900</v>
      </c>
      <c r="F46" s="134">
        <f>200-200</f>
        <v>0</v>
      </c>
      <c r="K46" s="196"/>
    </row>
    <row r="47" spans="1:11" ht="12.75" customHeight="1">
      <c r="A47" s="142" t="s">
        <v>252</v>
      </c>
      <c r="B47" s="50" t="s">
        <v>306</v>
      </c>
      <c r="C47" s="134">
        <v>62200</v>
      </c>
      <c r="D47" s="20">
        <f t="shared" si="0"/>
        <v>62200</v>
      </c>
      <c r="E47" s="134">
        <v>45500</v>
      </c>
      <c r="F47" s="134"/>
    </row>
    <row r="48" spans="1:11" ht="12.75" customHeight="1">
      <c r="A48" s="142" t="s">
        <v>253</v>
      </c>
      <c r="B48" s="50" t="s">
        <v>311</v>
      </c>
      <c r="C48" s="134">
        <f>442600+300+16700</f>
        <v>459600</v>
      </c>
      <c r="D48" s="20">
        <f t="shared" si="0"/>
        <v>457300</v>
      </c>
      <c r="E48" s="134">
        <f>295400+200+12700</f>
        <v>308300</v>
      </c>
      <c r="F48" s="134">
        <v>2300</v>
      </c>
    </row>
    <row r="49" spans="1:6" ht="12.75" customHeight="1">
      <c r="A49" s="142" t="s">
        <v>254</v>
      </c>
      <c r="B49" s="50" t="s">
        <v>307</v>
      </c>
      <c r="C49" s="134">
        <f>434800-4200-5900-10000</f>
        <v>414700</v>
      </c>
      <c r="D49" s="20">
        <f t="shared" si="0"/>
        <v>70400</v>
      </c>
      <c r="E49" s="134"/>
      <c r="F49" s="134">
        <v>344300</v>
      </c>
    </row>
    <row r="50" spans="1:6" ht="12.75" customHeight="1">
      <c r="A50" s="142" t="s">
        <v>255</v>
      </c>
      <c r="B50" s="50" t="s">
        <v>170</v>
      </c>
      <c r="C50" s="134">
        <f>409500+4300-1700+300+2500+8500</f>
        <v>423400</v>
      </c>
      <c r="D50" s="20">
        <f t="shared" si="0"/>
        <v>423400</v>
      </c>
      <c r="E50" s="134">
        <f>283000+200+1900+2800</f>
        <v>287900</v>
      </c>
      <c r="F50" s="134">
        <f>1700-1700</f>
        <v>0</v>
      </c>
    </row>
    <row r="51" spans="1:6" ht="12.75" customHeight="1">
      <c r="A51" s="142" t="s">
        <v>256</v>
      </c>
      <c r="B51" s="50" t="s">
        <v>88</v>
      </c>
      <c r="C51" s="134">
        <f>312900+100+9700</f>
        <v>322700</v>
      </c>
      <c r="D51" s="20">
        <f t="shared" si="0"/>
        <v>322700</v>
      </c>
      <c r="E51" s="134">
        <f>210500+100+6000</f>
        <v>216600</v>
      </c>
      <c r="F51" s="134"/>
    </row>
    <row r="52" spans="1:6" ht="12.75" customHeight="1">
      <c r="A52" s="142" t="s">
        <v>257</v>
      </c>
      <c r="B52" s="50" t="s">
        <v>89</v>
      </c>
      <c r="C52" s="134">
        <f>1300600+1000+15200+28400</f>
        <v>1345200</v>
      </c>
      <c r="D52" s="20">
        <f t="shared" si="0"/>
        <v>1335200</v>
      </c>
      <c r="E52" s="134">
        <f>609500+9600</f>
        <v>619100</v>
      </c>
      <c r="F52" s="134">
        <v>10000</v>
      </c>
    </row>
    <row r="53" spans="1:6" ht="12.75" customHeight="1">
      <c r="A53" s="143" t="s">
        <v>258</v>
      </c>
      <c r="B53" s="50" t="s">
        <v>75</v>
      </c>
      <c r="C53" s="134">
        <f>SUM(C54:C101)</f>
        <v>10149300</v>
      </c>
      <c r="D53" s="134">
        <f>SUM(D54:D101)</f>
        <v>7091000</v>
      </c>
      <c r="E53" s="134">
        <f>SUM(E54:E101)</f>
        <v>1529700</v>
      </c>
      <c r="F53" s="134">
        <f>SUM(F54:F101)</f>
        <v>3058300</v>
      </c>
    </row>
    <row r="54" spans="1:6" ht="12.75" customHeight="1">
      <c r="A54" s="40" t="s">
        <v>259</v>
      </c>
      <c r="B54" s="125" t="s">
        <v>166</v>
      </c>
      <c r="C54" s="126">
        <f>262900-10900</f>
        <v>252000</v>
      </c>
      <c r="D54" s="145">
        <f t="shared" ref="D54:D101" si="1">C54-F54</f>
        <v>250300</v>
      </c>
      <c r="E54" s="126">
        <v>97200</v>
      </c>
      <c r="F54" s="126">
        <f>12600-10900</f>
        <v>1700</v>
      </c>
    </row>
    <row r="55" spans="1:6" ht="12.75" customHeight="1">
      <c r="A55" s="38" t="s">
        <v>260</v>
      </c>
      <c r="B55" s="125" t="s">
        <v>167</v>
      </c>
      <c r="C55" s="126">
        <f>1821900+41300+17300+9500</f>
        <v>1890000</v>
      </c>
      <c r="D55" s="131">
        <f t="shared" si="1"/>
        <v>1796700</v>
      </c>
      <c r="E55" s="126">
        <f>1100000</f>
        <v>1100000</v>
      </c>
      <c r="F55" s="126">
        <f>31200+3500+41300+17300</f>
        <v>93300</v>
      </c>
    </row>
    <row r="56" spans="1:6" ht="12.75" customHeight="1">
      <c r="A56" s="38" t="s">
        <v>261</v>
      </c>
      <c r="B56" s="125" t="s">
        <v>340</v>
      </c>
      <c r="C56" s="126">
        <f>872300-3400-50500-12000-10200</f>
        <v>796200</v>
      </c>
      <c r="D56" s="131">
        <f t="shared" si="1"/>
        <v>791200</v>
      </c>
      <c r="E56" s="126">
        <f>258200+500+300-1500-900</f>
        <v>256600</v>
      </c>
      <c r="F56" s="126">
        <v>5000</v>
      </c>
    </row>
    <row r="57" spans="1:6" ht="12.75" customHeight="1">
      <c r="A57" s="38" t="s">
        <v>262</v>
      </c>
      <c r="B57" s="125" t="s">
        <v>404</v>
      </c>
      <c r="C57" s="126">
        <f>271800+4600-3900+14100+1300-284900</f>
        <v>3000</v>
      </c>
      <c r="D57" s="136">
        <f t="shared" si="1"/>
        <v>3000</v>
      </c>
      <c r="E57" s="126"/>
      <c r="F57" s="126"/>
    </row>
    <row r="58" spans="1:6" ht="12.75" customHeight="1">
      <c r="A58" s="38" t="s">
        <v>263</v>
      </c>
      <c r="B58" s="56" t="s">
        <v>398</v>
      </c>
      <c r="C58" s="126">
        <f>64300+1100+1000</f>
        <v>66400</v>
      </c>
      <c r="D58" s="136">
        <f t="shared" si="1"/>
        <v>66400</v>
      </c>
      <c r="E58" s="126">
        <v>900</v>
      </c>
      <c r="F58" s="126"/>
    </row>
    <row r="59" spans="1:6" ht="12.75" customHeight="1">
      <c r="A59" s="38" t="s">
        <v>264</v>
      </c>
      <c r="B59" s="56" t="s">
        <v>405</v>
      </c>
      <c r="C59" s="126">
        <f>4000-4000</f>
        <v>0</v>
      </c>
      <c r="D59" s="136">
        <f t="shared" si="1"/>
        <v>0</v>
      </c>
      <c r="E59" s="126"/>
      <c r="F59" s="126"/>
    </row>
    <row r="60" spans="1:6" ht="12.75" customHeight="1">
      <c r="A60" s="38" t="s">
        <v>265</v>
      </c>
      <c r="B60" s="56" t="s">
        <v>409</v>
      </c>
      <c r="C60" s="126">
        <v>1200</v>
      </c>
      <c r="D60" s="136">
        <f t="shared" si="1"/>
        <v>1200</v>
      </c>
      <c r="E60" s="126"/>
      <c r="F60" s="126"/>
    </row>
    <row r="61" spans="1:6" ht="12.75" customHeight="1">
      <c r="A61" s="38" t="s">
        <v>266</v>
      </c>
      <c r="B61" s="125" t="s">
        <v>406</v>
      </c>
      <c r="C61" s="126">
        <v>700</v>
      </c>
      <c r="D61" s="136">
        <f t="shared" si="1"/>
        <v>700</v>
      </c>
      <c r="E61" s="126"/>
      <c r="F61" s="126"/>
    </row>
    <row r="62" spans="1:6" ht="12.75" customHeight="1">
      <c r="A62" s="38" t="s">
        <v>267</v>
      </c>
      <c r="B62" s="125" t="s">
        <v>452</v>
      </c>
      <c r="C62" s="126">
        <f>4000-500-1100</f>
        <v>2400</v>
      </c>
      <c r="D62" s="136">
        <f t="shared" si="1"/>
        <v>2400</v>
      </c>
      <c r="E62" s="126"/>
      <c r="F62" s="126"/>
    </row>
    <row r="63" spans="1:6" ht="12.75" customHeight="1">
      <c r="A63" s="38" t="s">
        <v>268</v>
      </c>
      <c r="B63" s="125" t="s">
        <v>408</v>
      </c>
      <c r="C63" s="126">
        <f>3000-1500+1500</f>
        <v>3000</v>
      </c>
      <c r="D63" s="136">
        <f t="shared" si="1"/>
        <v>3000</v>
      </c>
      <c r="E63" s="126"/>
      <c r="F63" s="126"/>
    </row>
    <row r="64" spans="1:6" ht="12.75" customHeight="1">
      <c r="A64" s="38" t="s">
        <v>269</v>
      </c>
      <c r="B64" s="125" t="s">
        <v>453</v>
      </c>
      <c r="C64" s="126">
        <v>8000</v>
      </c>
      <c r="D64" s="136">
        <f t="shared" si="1"/>
        <v>8000</v>
      </c>
      <c r="E64" s="126"/>
      <c r="F64" s="126"/>
    </row>
    <row r="65" spans="1:6" ht="12.75" customHeight="1">
      <c r="A65" s="38" t="s">
        <v>270</v>
      </c>
      <c r="B65" s="125" t="s">
        <v>454</v>
      </c>
      <c r="C65" s="126">
        <f>14000+1700</f>
        <v>15700</v>
      </c>
      <c r="D65" s="136">
        <f t="shared" si="1"/>
        <v>15700</v>
      </c>
      <c r="E65" s="126"/>
      <c r="F65" s="126"/>
    </row>
    <row r="66" spans="1:6" ht="12.75" customHeight="1">
      <c r="A66" s="38" t="s">
        <v>271</v>
      </c>
      <c r="B66" s="125" t="s">
        <v>413</v>
      </c>
      <c r="C66" s="126">
        <v>6000</v>
      </c>
      <c r="D66" s="136">
        <f t="shared" si="1"/>
        <v>6000</v>
      </c>
      <c r="E66" s="126"/>
      <c r="F66" s="126"/>
    </row>
    <row r="67" spans="1:6" ht="12.75" customHeight="1">
      <c r="A67" s="38" t="s">
        <v>272</v>
      </c>
      <c r="B67" s="125" t="s">
        <v>455</v>
      </c>
      <c r="C67" s="126">
        <f>1000+300</f>
        <v>1300</v>
      </c>
      <c r="D67" s="136">
        <f t="shared" si="1"/>
        <v>1300</v>
      </c>
      <c r="E67" s="126"/>
      <c r="F67" s="126"/>
    </row>
    <row r="68" spans="1:6" ht="12.75" customHeight="1">
      <c r="A68" s="38" t="s">
        <v>273</v>
      </c>
      <c r="B68" s="125" t="s">
        <v>414</v>
      </c>
      <c r="C68" s="126">
        <f>20000+3900+1700</f>
        <v>25600</v>
      </c>
      <c r="D68" s="136">
        <f>C68-F68</f>
        <v>25600</v>
      </c>
      <c r="E68" s="126"/>
      <c r="F68" s="126"/>
    </row>
    <row r="69" spans="1:6" ht="12.75" customHeight="1">
      <c r="A69" s="38" t="s">
        <v>274</v>
      </c>
      <c r="B69" s="125" t="s">
        <v>402</v>
      </c>
      <c r="C69" s="126">
        <f>900000-18000-44700-9700-48100</f>
        <v>779500</v>
      </c>
      <c r="D69" s="136">
        <f t="shared" si="1"/>
        <v>779500</v>
      </c>
      <c r="E69" s="126"/>
      <c r="F69" s="126"/>
    </row>
    <row r="70" spans="1:6" ht="12.75" customHeight="1">
      <c r="A70" s="38" t="s">
        <v>276</v>
      </c>
      <c r="B70" s="125" t="s">
        <v>416</v>
      </c>
      <c r="C70" s="126">
        <v>3100</v>
      </c>
      <c r="D70" s="136">
        <f t="shared" si="1"/>
        <v>3100</v>
      </c>
      <c r="E70" s="126"/>
      <c r="F70" s="126"/>
    </row>
    <row r="71" spans="1:6" ht="12.75" customHeight="1">
      <c r="A71" s="38" t="s">
        <v>277</v>
      </c>
      <c r="B71" s="125" t="s">
        <v>417</v>
      </c>
      <c r="C71" s="126">
        <f>55600+3100+10000+7000</f>
        <v>75700</v>
      </c>
      <c r="D71" s="136">
        <f t="shared" si="1"/>
        <v>75700</v>
      </c>
      <c r="E71" s="126"/>
      <c r="F71" s="126"/>
    </row>
    <row r="72" spans="1:6" ht="12.75" customHeight="1">
      <c r="A72" s="38" t="s">
        <v>278</v>
      </c>
      <c r="B72" s="125" t="s">
        <v>418</v>
      </c>
      <c r="C72" s="126">
        <f>10400+2000+1200</f>
        <v>13600</v>
      </c>
      <c r="D72" s="136">
        <f t="shared" si="1"/>
        <v>13600</v>
      </c>
      <c r="E72" s="126"/>
      <c r="F72" s="126"/>
    </row>
    <row r="73" spans="1:6" ht="12.75" customHeight="1">
      <c r="A73" s="38" t="s">
        <v>280</v>
      </c>
      <c r="B73" s="125" t="s">
        <v>419</v>
      </c>
      <c r="C73" s="126">
        <f>75000+100+18000+6200</f>
        <v>99300</v>
      </c>
      <c r="D73" s="136">
        <f t="shared" si="1"/>
        <v>99300</v>
      </c>
      <c r="E73" s="126"/>
      <c r="F73" s="126"/>
    </row>
    <row r="74" spans="1:6" ht="12.75" customHeight="1">
      <c r="A74" s="38" t="s">
        <v>281</v>
      </c>
      <c r="B74" s="125" t="s">
        <v>412</v>
      </c>
      <c r="C74" s="126">
        <f>19000-2700-11000</f>
        <v>5300</v>
      </c>
      <c r="D74" s="136">
        <f t="shared" si="1"/>
        <v>5300</v>
      </c>
      <c r="E74" s="126"/>
      <c r="F74" s="126"/>
    </row>
    <row r="75" spans="1:6" ht="12.75" customHeight="1">
      <c r="A75" s="38" t="s">
        <v>282</v>
      </c>
      <c r="B75" s="125" t="s">
        <v>456</v>
      </c>
      <c r="C75" s="126">
        <f>480000-7400-7000-50000</f>
        <v>415600</v>
      </c>
      <c r="D75" s="136">
        <f t="shared" si="1"/>
        <v>415600</v>
      </c>
      <c r="E75" s="126"/>
      <c r="F75" s="126"/>
    </row>
    <row r="76" spans="1:6" ht="12.75" customHeight="1">
      <c r="A76" s="38" t="s">
        <v>283</v>
      </c>
      <c r="B76" s="125" t="s">
        <v>421</v>
      </c>
      <c r="C76" s="126">
        <f>80000+2000</f>
        <v>82000</v>
      </c>
      <c r="D76" s="136">
        <f t="shared" si="1"/>
        <v>82000</v>
      </c>
      <c r="E76" s="126"/>
      <c r="F76" s="126"/>
    </row>
    <row r="77" spans="1:6" ht="12.75" customHeight="1">
      <c r="A77" s="38" t="s">
        <v>284</v>
      </c>
      <c r="B77" s="125" t="s">
        <v>424</v>
      </c>
      <c r="C77" s="126">
        <f>34000-6000-4900-500-300-5200-1500-11500</f>
        <v>4100</v>
      </c>
      <c r="D77" s="136">
        <f t="shared" si="1"/>
        <v>4100</v>
      </c>
      <c r="E77" s="126"/>
      <c r="F77" s="126"/>
    </row>
    <row r="78" spans="1:6" ht="12.75" customHeight="1">
      <c r="A78" s="38" t="s">
        <v>285</v>
      </c>
      <c r="B78" s="125" t="s">
        <v>422</v>
      </c>
      <c r="C78" s="126">
        <v>17900</v>
      </c>
      <c r="D78" s="136">
        <f>C78-F78</f>
        <v>2900</v>
      </c>
      <c r="E78" s="126"/>
      <c r="F78" s="126">
        <v>15000</v>
      </c>
    </row>
    <row r="79" spans="1:6" ht="12.75" customHeight="1">
      <c r="A79" s="38" t="s">
        <v>286</v>
      </c>
      <c r="B79" s="125" t="s">
        <v>423</v>
      </c>
      <c r="C79" s="126">
        <v>106400</v>
      </c>
      <c r="D79" s="136">
        <f t="shared" si="1"/>
        <v>106400</v>
      </c>
      <c r="E79" s="126"/>
      <c r="F79" s="126"/>
    </row>
    <row r="80" spans="1:6" ht="12.75" customHeight="1">
      <c r="A80" s="38" t="s">
        <v>287</v>
      </c>
      <c r="B80" s="125" t="s">
        <v>172</v>
      </c>
      <c r="C80" s="126">
        <v>2000</v>
      </c>
      <c r="D80" s="136">
        <f t="shared" si="1"/>
        <v>2000</v>
      </c>
      <c r="E80" s="126"/>
      <c r="F80" s="126"/>
    </row>
    <row r="81" spans="1:6" ht="12.75" customHeight="1">
      <c r="A81" s="38" t="s">
        <v>288</v>
      </c>
      <c r="B81" s="125" t="s">
        <v>173</v>
      </c>
      <c r="C81" s="126">
        <f>10000+15000</f>
        <v>25000</v>
      </c>
      <c r="D81" s="136">
        <f t="shared" si="1"/>
        <v>25000</v>
      </c>
      <c r="E81" s="126"/>
      <c r="F81" s="126">
        <f>4000-4000</f>
        <v>0</v>
      </c>
    </row>
    <row r="82" spans="1:6" ht="12.75" customHeight="1">
      <c r="A82" s="38" t="s">
        <v>289</v>
      </c>
      <c r="B82" s="125" t="s">
        <v>425</v>
      </c>
      <c r="C82" s="126">
        <v>5000</v>
      </c>
      <c r="D82" s="136">
        <f t="shared" si="1"/>
        <v>5000</v>
      </c>
      <c r="E82" s="126"/>
      <c r="F82" s="126"/>
    </row>
    <row r="83" spans="1:6" ht="12.75" customHeight="1">
      <c r="A83" s="38" t="s">
        <v>290</v>
      </c>
      <c r="B83" s="125" t="s">
        <v>181</v>
      </c>
      <c r="C83" s="126">
        <v>3000</v>
      </c>
      <c r="D83" s="136">
        <f t="shared" si="1"/>
        <v>3000</v>
      </c>
      <c r="E83" s="126"/>
      <c r="F83" s="126"/>
    </row>
    <row r="84" spans="1:6" ht="12.75" customHeight="1">
      <c r="A84" s="38" t="s">
        <v>291</v>
      </c>
      <c r="B84" s="125" t="s">
        <v>426</v>
      </c>
      <c r="C84" s="126">
        <v>20300</v>
      </c>
      <c r="D84" s="136">
        <f t="shared" si="1"/>
        <v>20300</v>
      </c>
      <c r="E84" s="126"/>
      <c r="F84" s="126"/>
    </row>
    <row r="85" spans="1:6">
      <c r="A85" s="38" t="s">
        <v>292</v>
      </c>
      <c r="B85" s="125" t="s">
        <v>168</v>
      </c>
      <c r="C85" s="126">
        <f>25500+3000</f>
        <v>28500</v>
      </c>
      <c r="D85" s="136">
        <f t="shared" si="1"/>
        <v>28500</v>
      </c>
      <c r="E85" s="126"/>
      <c r="F85" s="126"/>
    </row>
    <row r="86" spans="1:6">
      <c r="A86" s="38" t="s">
        <v>293</v>
      </c>
      <c r="B86" s="56" t="s">
        <v>183</v>
      </c>
      <c r="C86" s="126">
        <v>8800</v>
      </c>
      <c r="D86" s="136">
        <f>C86-F86</f>
        <v>8800</v>
      </c>
      <c r="E86" s="126"/>
      <c r="F86" s="126"/>
    </row>
    <row r="87" spans="1:6">
      <c r="A87" s="38" t="s">
        <v>294</v>
      </c>
      <c r="B87" s="56" t="s">
        <v>427</v>
      </c>
      <c r="C87" s="126">
        <f>221500+20000+30000</f>
        <v>271500</v>
      </c>
      <c r="D87" s="136">
        <f>C87-F87</f>
        <v>271500</v>
      </c>
      <c r="E87" s="126"/>
      <c r="F87" s="126"/>
    </row>
    <row r="88" spans="1:6">
      <c r="A88" s="38" t="s">
        <v>295</v>
      </c>
      <c r="B88" s="125" t="s">
        <v>428</v>
      </c>
      <c r="C88" s="126">
        <f>78000-25800+90600</f>
        <v>142800</v>
      </c>
      <c r="D88" s="136">
        <f t="shared" si="1"/>
        <v>121800</v>
      </c>
      <c r="E88" s="126"/>
      <c r="F88" s="126">
        <f>15000+6000</f>
        <v>21000</v>
      </c>
    </row>
    <row r="89" spans="1:6">
      <c r="A89" s="38" t="s">
        <v>296</v>
      </c>
      <c r="B89" s="214" t="s">
        <v>430</v>
      </c>
      <c r="C89" s="59">
        <f>20000+10000</f>
        <v>30000</v>
      </c>
      <c r="D89" s="131">
        <f t="shared" si="1"/>
        <v>30000</v>
      </c>
      <c r="E89" s="126"/>
      <c r="F89" s="126"/>
    </row>
    <row r="90" spans="1:6" ht="12.75" customHeight="1">
      <c r="A90" s="38" t="s">
        <v>297</v>
      </c>
      <c r="B90" s="125" t="s">
        <v>429</v>
      </c>
      <c r="C90" s="126">
        <f>635000+17000</f>
        <v>652000</v>
      </c>
      <c r="D90" s="136">
        <f t="shared" si="1"/>
        <v>652000</v>
      </c>
      <c r="E90" s="126"/>
      <c r="F90" s="126"/>
    </row>
    <row r="91" spans="1:6" ht="15" customHeight="1">
      <c r="A91" s="38" t="s">
        <v>298</v>
      </c>
      <c r="B91" s="214" t="s">
        <v>457</v>
      </c>
      <c r="C91" s="59">
        <v>15000</v>
      </c>
      <c r="D91" s="131">
        <f t="shared" si="1"/>
        <v>15000</v>
      </c>
      <c r="E91" s="126"/>
      <c r="F91" s="126"/>
    </row>
    <row r="92" spans="1:6">
      <c r="A92" s="38" t="s">
        <v>319</v>
      </c>
      <c r="B92" s="214" t="s">
        <v>431</v>
      </c>
      <c r="C92" s="59">
        <v>3200</v>
      </c>
      <c r="D92" s="131">
        <f t="shared" si="1"/>
        <v>3200</v>
      </c>
      <c r="E92" s="126"/>
      <c r="F92" s="126"/>
    </row>
    <row r="93" spans="1:6">
      <c r="A93" s="38" t="s">
        <v>299</v>
      </c>
      <c r="B93" s="214" t="s">
        <v>442</v>
      </c>
      <c r="C93" s="59">
        <f>427000+6800+6500</f>
        <v>440300</v>
      </c>
      <c r="D93" s="131">
        <f t="shared" si="1"/>
        <v>414000</v>
      </c>
      <c r="E93" s="126">
        <f>69600+5200</f>
        <v>74800</v>
      </c>
      <c r="F93" s="126">
        <f>48000-14100-7600</f>
        <v>26300</v>
      </c>
    </row>
    <row r="94" spans="1:6">
      <c r="A94" s="38" t="s">
        <v>321</v>
      </c>
      <c r="B94" s="125" t="s">
        <v>437</v>
      </c>
      <c r="C94" s="126">
        <f>267100-11200-5100-17300-15000+3300</f>
        <v>221800</v>
      </c>
      <c r="D94" s="136">
        <f t="shared" si="1"/>
        <v>221800</v>
      </c>
      <c r="E94" s="126"/>
      <c r="F94" s="126"/>
    </row>
    <row r="95" spans="1:6">
      <c r="A95" s="38" t="s">
        <v>334</v>
      </c>
      <c r="B95" s="125" t="s">
        <v>174</v>
      </c>
      <c r="C95" s="126">
        <v>22000</v>
      </c>
      <c r="D95" s="136">
        <f t="shared" si="1"/>
        <v>22000</v>
      </c>
      <c r="E95" s="126"/>
      <c r="F95" s="126"/>
    </row>
    <row r="96" spans="1:6">
      <c r="A96" s="38" t="s">
        <v>335</v>
      </c>
      <c r="B96" s="125" t="s">
        <v>179</v>
      </c>
      <c r="C96" s="126">
        <f>68000+8000</f>
        <v>76000</v>
      </c>
      <c r="D96" s="136">
        <f t="shared" si="1"/>
        <v>66500</v>
      </c>
      <c r="E96" s="126"/>
      <c r="F96" s="126">
        <f>38000-18000-5500-5000</f>
        <v>9500</v>
      </c>
    </row>
    <row r="97" spans="1:6">
      <c r="A97" s="38" t="s">
        <v>336</v>
      </c>
      <c r="B97" s="125" t="s">
        <v>439</v>
      </c>
      <c r="C97" s="126">
        <f>7600-500-200</f>
        <v>6900</v>
      </c>
      <c r="D97" s="136">
        <f t="shared" si="1"/>
        <v>6900</v>
      </c>
      <c r="E97" s="126"/>
      <c r="F97" s="126"/>
    </row>
    <row r="98" spans="1:6">
      <c r="A98" s="38" t="s">
        <v>432</v>
      </c>
      <c r="B98" s="125" t="s">
        <v>175</v>
      </c>
      <c r="C98" s="126">
        <f>55500-5800</f>
        <v>49700</v>
      </c>
      <c r="D98" s="136">
        <f t="shared" si="1"/>
        <v>49700</v>
      </c>
      <c r="E98" s="126"/>
      <c r="F98" s="126"/>
    </row>
    <row r="99" spans="1:6" ht="25.5">
      <c r="A99" s="38" t="s">
        <v>433</v>
      </c>
      <c r="B99" s="56" t="s">
        <v>391</v>
      </c>
      <c r="C99" s="126">
        <f>1007900+1264600+5800</f>
        <v>2278300</v>
      </c>
      <c r="D99" s="136">
        <f t="shared" si="1"/>
        <v>508700</v>
      </c>
      <c r="E99" s="126"/>
      <c r="F99" s="126">
        <f>507900+1264600-2900</f>
        <v>1769600</v>
      </c>
    </row>
    <row r="100" spans="1:6">
      <c r="A100" s="38" t="s">
        <v>434</v>
      </c>
      <c r="B100" s="125" t="s">
        <v>169</v>
      </c>
      <c r="C100" s="126">
        <f>1375900+21500+200-230900+1400</f>
        <v>1168100</v>
      </c>
      <c r="D100" s="136">
        <f t="shared" si="1"/>
        <v>51200</v>
      </c>
      <c r="E100" s="126">
        <f>200</f>
        <v>200</v>
      </c>
      <c r="F100" s="126">
        <f>1327900+19700+200-230900</f>
        <v>1116900</v>
      </c>
    </row>
    <row r="101" spans="1:6" ht="25.5">
      <c r="A101" s="38" t="s">
        <v>435</v>
      </c>
      <c r="B101" s="214" t="s">
        <v>462</v>
      </c>
      <c r="C101" s="59">
        <v>5100</v>
      </c>
      <c r="D101" s="136">
        <f t="shared" si="1"/>
        <v>5100</v>
      </c>
      <c r="E101" s="59"/>
      <c r="F101" s="59"/>
    </row>
    <row r="102" spans="1:6">
      <c r="A102" s="38" t="s">
        <v>436</v>
      </c>
      <c r="B102" s="15" t="s">
        <v>446</v>
      </c>
      <c r="C102" s="28">
        <f>SUM(C18:C53)</f>
        <v>24327000</v>
      </c>
      <c r="D102" s="28">
        <f>SUM(D18:D53)</f>
        <v>20878100</v>
      </c>
      <c r="E102" s="28">
        <f>SUM(E18:E53)</f>
        <v>9817500</v>
      </c>
      <c r="F102" s="28">
        <f>SUM(F18:F53)</f>
        <v>3448900</v>
      </c>
    </row>
    <row r="103" spans="1:6" ht="25.5">
      <c r="A103" s="40" t="s">
        <v>438</v>
      </c>
      <c r="B103" s="162" t="s">
        <v>448</v>
      </c>
      <c r="C103" s="134">
        <v>344300</v>
      </c>
      <c r="D103" s="134">
        <f>C103-F103</f>
        <v>0</v>
      </c>
      <c r="E103" s="134"/>
      <c r="F103" s="134">
        <v>344300</v>
      </c>
    </row>
    <row r="104" spans="1:6">
      <c r="A104" s="40" t="s">
        <v>440</v>
      </c>
      <c r="B104" s="215" t="s">
        <v>190</v>
      </c>
      <c r="C104" s="132">
        <f>C102-C103</f>
        <v>23982700</v>
      </c>
      <c r="D104" s="132">
        <f>D102-D103</f>
        <v>20878100</v>
      </c>
      <c r="E104" s="132">
        <f>E102-E103</f>
        <v>9817500</v>
      </c>
      <c r="F104" s="132">
        <f>F102-F103</f>
        <v>3104600</v>
      </c>
    </row>
    <row r="105" spans="1:6">
      <c r="A105" s="291"/>
      <c r="B105" s="291"/>
      <c r="C105" s="291"/>
      <c r="D105" s="291"/>
      <c r="E105" s="291"/>
      <c r="F105" s="291"/>
    </row>
    <row r="106" spans="1:6">
      <c r="A106" s="292" t="s">
        <v>50</v>
      </c>
      <c r="B106" s="292"/>
      <c r="C106" s="292"/>
      <c r="D106" s="292"/>
      <c r="E106" s="292"/>
      <c r="F106" s="292"/>
    </row>
    <row r="107" spans="1:6">
      <c r="A107" s="123"/>
      <c r="B107" s="123"/>
      <c r="C107" s="123"/>
      <c r="D107" s="123"/>
      <c r="E107" s="123"/>
      <c r="F107" s="123"/>
    </row>
    <row r="108" spans="1:6">
      <c r="A108" s="123"/>
      <c r="B108" s="123"/>
      <c r="C108" s="123"/>
      <c r="D108" s="123"/>
      <c r="E108" s="123"/>
      <c r="F108" s="123"/>
    </row>
    <row r="109" spans="1:6">
      <c r="A109" s="123"/>
      <c r="B109" s="123"/>
      <c r="C109" s="123"/>
      <c r="D109" s="123"/>
      <c r="E109" s="123"/>
      <c r="F109" s="123"/>
    </row>
    <row r="110" spans="1:6">
      <c r="A110" s="123"/>
      <c r="B110" s="123"/>
      <c r="C110" s="123"/>
      <c r="D110" s="123"/>
      <c r="E110" s="123"/>
      <c r="F110" s="123"/>
    </row>
    <row r="111" spans="1:6">
      <c r="A111" s="123"/>
      <c r="B111" s="123"/>
      <c r="C111" s="123"/>
      <c r="D111" s="123"/>
      <c r="E111" s="123"/>
      <c r="F111" s="123"/>
    </row>
    <row r="112" spans="1:6">
      <c r="A112" s="123"/>
      <c r="B112" s="123"/>
      <c r="C112" s="123"/>
      <c r="D112" s="123"/>
      <c r="E112" s="123"/>
      <c r="F112" s="123"/>
    </row>
    <row r="113" spans="1:6">
      <c r="A113" s="123"/>
      <c r="B113" s="123"/>
      <c r="C113" s="123"/>
      <c r="D113" s="123"/>
      <c r="E113" s="123"/>
      <c r="F113" s="123"/>
    </row>
    <row r="114" spans="1:6">
      <c r="A114" s="123"/>
      <c r="B114" s="123"/>
      <c r="C114" s="123"/>
      <c r="D114" s="123"/>
      <c r="E114" s="123"/>
      <c r="F114" s="123"/>
    </row>
    <row r="115" spans="1:6">
      <c r="A115" s="123"/>
      <c r="B115" s="123"/>
      <c r="C115" s="123"/>
      <c r="D115" s="123"/>
      <c r="E115" s="123"/>
      <c r="F115" s="123"/>
    </row>
    <row r="116" spans="1:6">
      <c r="A116" s="123"/>
      <c r="B116" s="123"/>
      <c r="C116" s="123"/>
      <c r="D116" s="123"/>
      <c r="E116" s="123"/>
      <c r="F116" s="123"/>
    </row>
    <row r="117" spans="1:6">
      <c r="A117" s="123"/>
      <c r="B117" s="123"/>
      <c r="C117" s="123"/>
      <c r="D117" s="123"/>
      <c r="E117" s="123"/>
      <c r="F117" s="123"/>
    </row>
    <row r="118" spans="1:6">
      <c r="A118" s="123"/>
      <c r="B118" s="123"/>
      <c r="C118" s="123"/>
      <c r="D118" s="123"/>
      <c r="E118" s="123"/>
      <c r="F118" s="123"/>
    </row>
    <row r="119" spans="1:6">
      <c r="A119" s="123"/>
      <c r="B119" s="123"/>
      <c r="C119" s="123"/>
      <c r="D119" s="123"/>
      <c r="E119" s="123"/>
      <c r="F119" s="123"/>
    </row>
    <row r="120" spans="1:6">
      <c r="A120" s="123"/>
      <c r="B120" s="123"/>
      <c r="C120" s="123"/>
      <c r="D120" s="123"/>
      <c r="E120" s="123"/>
      <c r="F120" s="123"/>
    </row>
    <row r="121" spans="1:6">
      <c r="A121" s="123"/>
      <c r="B121" s="123"/>
      <c r="C121" s="123"/>
      <c r="D121" s="123"/>
      <c r="E121" s="123"/>
      <c r="F121" s="123"/>
    </row>
    <row r="122" spans="1:6">
      <c r="A122" s="123"/>
      <c r="B122" s="123"/>
      <c r="C122" s="123"/>
      <c r="D122" s="123"/>
      <c r="E122" s="123"/>
      <c r="F122" s="123"/>
    </row>
    <row r="123" spans="1:6">
      <c r="A123" s="123"/>
      <c r="B123" s="123"/>
      <c r="C123" s="123"/>
      <c r="D123" s="123"/>
      <c r="E123" s="123"/>
      <c r="F123" s="123"/>
    </row>
    <row r="124" spans="1:6">
      <c r="A124" s="123"/>
      <c r="B124" s="123"/>
      <c r="C124" s="123"/>
      <c r="D124" s="123"/>
      <c r="E124" s="123"/>
      <c r="F124" s="123"/>
    </row>
    <row r="125" spans="1:6">
      <c r="A125" s="123"/>
      <c r="B125" s="123"/>
      <c r="C125" s="123"/>
      <c r="D125" s="123"/>
      <c r="E125" s="123"/>
      <c r="F125" s="123"/>
    </row>
    <row r="126" spans="1:6">
      <c r="A126" s="123"/>
      <c r="B126" s="123"/>
      <c r="C126" s="123"/>
      <c r="D126" s="123"/>
      <c r="E126" s="123"/>
      <c r="F126" s="123"/>
    </row>
    <row r="127" spans="1:6">
      <c r="A127" s="123"/>
      <c r="B127" s="123"/>
      <c r="C127" s="123"/>
      <c r="D127" s="123"/>
      <c r="E127" s="123"/>
      <c r="F127" s="123"/>
    </row>
    <row r="128" spans="1:6">
      <c r="A128" s="123"/>
      <c r="B128" s="123"/>
      <c r="C128" s="123"/>
      <c r="D128" s="123"/>
      <c r="E128" s="123"/>
      <c r="F128" s="123"/>
    </row>
    <row r="129" spans="1:6">
      <c r="A129" s="123"/>
      <c r="B129" s="123"/>
      <c r="C129" s="123"/>
      <c r="D129" s="123"/>
      <c r="E129" s="123"/>
      <c r="F129" s="123"/>
    </row>
    <row r="130" spans="1:6">
      <c r="A130" s="123"/>
      <c r="B130" s="123"/>
      <c r="C130" s="123"/>
      <c r="D130" s="123"/>
      <c r="E130" s="123"/>
      <c r="F130" s="123"/>
    </row>
    <row r="131" spans="1:6">
      <c r="A131" s="123"/>
      <c r="B131" s="123"/>
      <c r="C131" s="123"/>
      <c r="D131" s="123"/>
      <c r="E131" s="123"/>
      <c r="F131" s="123"/>
    </row>
    <row r="132" spans="1:6">
      <c r="A132" s="123"/>
      <c r="B132" s="123"/>
      <c r="C132" s="123"/>
      <c r="D132" s="123"/>
      <c r="E132" s="123"/>
      <c r="F132" s="123"/>
    </row>
    <row r="133" spans="1:6">
      <c r="A133" s="127"/>
      <c r="B133" s="127"/>
      <c r="C133" s="127"/>
      <c r="D133" s="127"/>
      <c r="E133" s="127"/>
      <c r="F133" s="127"/>
    </row>
    <row r="134" spans="1:6">
      <c r="A134" s="127"/>
      <c r="B134" s="127"/>
      <c r="C134" s="127"/>
      <c r="D134" s="127"/>
      <c r="E134" s="127"/>
      <c r="F134" s="127"/>
    </row>
    <row r="135" spans="1:6">
      <c r="A135" s="127"/>
      <c r="B135" s="127"/>
      <c r="C135" s="127"/>
      <c r="D135" s="127"/>
      <c r="E135" s="127"/>
      <c r="F135" s="127"/>
    </row>
    <row r="136" spans="1:6">
      <c r="A136" s="127"/>
      <c r="B136" s="127"/>
      <c r="C136" s="127"/>
      <c r="D136" s="127"/>
      <c r="E136" s="127"/>
      <c r="F136" s="127"/>
    </row>
    <row r="137" spans="1:6">
      <c r="A137" s="127"/>
      <c r="B137" s="127"/>
      <c r="C137" s="127"/>
      <c r="D137" s="127"/>
      <c r="E137" s="127"/>
      <c r="F137" s="127"/>
    </row>
    <row r="138" spans="1:6">
      <c r="A138" s="127"/>
      <c r="B138" s="127"/>
      <c r="C138" s="127"/>
      <c r="D138" s="127"/>
      <c r="E138" s="127"/>
      <c r="F138" s="127"/>
    </row>
    <row r="139" spans="1:6">
      <c r="A139" s="127"/>
      <c r="B139" s="127"/>
      <c r="C139" s="127"/>
      <c r="D139" s="127"/>
      <c r="E139" s="127"/>
      <c r="F139" s="127"/>
    </row>
    <row r="140" spans="1:6">
      <c r="A140" s="127"/>
      <c r="B140" s="127"/>
      <c r="C140" s="127"/>
      <c r="D140" s="127"/>
      <c r="E140" s="127"/>
      <c r="F140" s="127"/>
    </row>
    <row r="141" spans="1:6">
      <c r="A141" s="127"/>
      <c r="B141" s="127"/>
      <c r="C141" s="127"/>
      <c r="D141" s="127"/>
      <c r="E141" s="127"/>
      <c r="F141" s="127"/>
    </row>
    <row r="142" spans="1:6">
      <c r="A142" s="127"/>
      <c r="B142" s="127"/>
      <c r="C142" s="127"/>
      <c r="D142" s="127"/>
      <c r="E142" s="127"/>
      <c r="F142" s="127"/>
    </row>
    <row r="143" spans="1:6">
      <c r="A143" s="127"/>
      <c r="B143" s="127"/>
      <c r="C143" s="127"/>
      <c r="D143" s="127"/>
      <c r="E143" s="127"/>
      <c r="F143" s="127"/>
    </row>
    <row r="144" spans="1:6">
      <c r="A144" s="127"/>
      <c r="B144" s="127"/>
      <c r="C144" s="127"/>
      <c r="D144" s="127"/>
      <c r="E144" s="127"/>
      <c r="F144" s="127"/>
    </row>
    <row r="145" spans="1:6">
      <c r="A145" s="127"/>
      <c r="B145" s="127"/>
      <c r="C145" s="127"/>
      <c r="D145" s="127"/>
      <c r="E145" s="127"/>
      <c r="F145" s="127"/>
    </row>
    <row r="146" spans="1:6">
      <c r="A146" s="127"/>
      <c r="B146" s="127"/>
      <c r="C146" s="127"/>
      <c r="D146" s="127"/>
      <c r="E146" s="127"/>
      <c r="F146" s="127"/>
    </row>
    <row r="147" spans="1:6">
      <c r="A147" s="127"/>
      <c r="B147" s="127"/>
      <c r="C147" s="127"/>
      <c r="D147" s="127"/>
      <c r="E147" s="127"/>
      <c r="F147" s="127"/>
    </row>
    <row r="148" spans="1:6">
      <c r="A148" s="127"/>
      <c r="B148" s="127"/>
      <c r="C148" s="127"/>
      <c r="D148" s="127"/>
      <c r="E148" s="127"/>
      <c r="F148" s="127"/>
    </row>
    <row r="149" spans="1:6">
      <c r="A149" s="127"/>
      <c r="B149" s="127"/>
      <c r="C149" s="127"/>
      <c r="D149" s="127"/>
      <c r="E149" s="127"/>
      <c r="F149" s="127"/>
    </row>
    <row r="150" spans="1:6">
      <c r="A150" s="127"/>
      <c r="B150" s="127"/>
      <c r="C150" s="127"/>
      <c r="D150" s="127"/>
      <c r="E150" s="127"/>
      <c r="F150" s="127"/>
    </row>
    <row r="151" spans="1:6">
      <c r="A151" s="127"/>
      <c r="B151" s="127"/>
      <c r="C151" s="127"/>
      <c r="D151" s="127"/>
      <c r="E151" s="127"/>
      <c r="F151" s="127"/>
    </row>
    <row r="152" spans="1:6">
      <c r="A152" s="127"/>
      <c r="B152" s="127"/>
      <c r="C152" s="127"/>
      <c r="D152" s="127"/>
      <c r="E152" s="127"/>
      <c r="F152" s="127"/>
    </row>
    <row r="153" spans="1:6">
      <c r="A153" s="127"/>
      <c r="B153" s="127"/>
      <c r="C153" s="127"/>
      <c r="D153" s="127"/>
      <c r="E153" s="127"/>
      <c r="F153" s="127"/>
    </row>
    <row r="154" spans="1:6">
      <c r="A154" s="127"/>
      <c r="B154" s="127"/>
      <c r="C154" s="127"/>
      <c r="D154" s="127"/>
      <c r="E154" s="127"/>
      <c r="F154" s="127"/>
    </row>
    <row r="155" spans="1:6">
      <c r="A155" s="127"/>
      <c r="B155" s="127"/>
      <c r="C155" s="127"/>
      <c r="D155" s="127"/>
      <c r="E155" s="127"/>
      <c r="F155" s="127"/>
    </row>
    <row r="156" spans="1:6">
      <c r="A156" s="127"/>
      <c r="B156" s="127"/>
      <c r="C156" s="127"/>
      <c r="D156" s="127"/>
      <c r="E156" s="127"/>
      <c r="F156" s="127"/>
    </row>
    <row r="157" spans="1:6">
      <c r="A157" s="127"/>
      <c r="B157" s="127"/>
      <c r="C157" s="127"/>
      <c r="D157" s="127"/>
      <c r="E157" s="127"/>
      <c r="F157" s="127"/>
    </row>
    <row r="158" spans="1:6">
      <c r="A158" s="127"/>
      <c r="B158" s="127"/>
      <c r="C158" s="127"/>
      <c r="D158" s="127"/>
      <c r="E158" s="127"/>
      <c r="F158" s="127"/>
    </row>
    <row r="159" spans="1:6">
      <c r="A159" s="127"/>
      <c r="B159" s="127"/>
      <c r="C159" s="127"/>
      <c r="D159" s="127"/>
      <c r="E159" s="127"/>
      <c r="F159" s="127"/>
    </row>
    <row r="160" spans="1:6">
      <c r="A160" s="127"/>
      <c r="B160" s="127"/>
      <c r="C160" s="127"/>
      <c r="D160" s="127"/>
      <c r="E160" s="127"/>
      <c r="F160" s="127"/>
    </row>
    <row r="161" spans="1:6">
      <c r="A161" s="127"/>
      <c r="B161" s="127"/>
      <c r="C161" s="127"/>
      <c r="D161" s="127"/>
      <c r="E161" s="127"/>
      <c r="F161" s="127"/>
    </row>
    <row r="162" spans="1:6">
      <c r="A162" s="127"/>
      <c r="B162" s="127"/>
      <c r="C162" s="127"/>
      <c r="D162" s="127"/>
      <c r="E162" s="127"/>
      <c r="F162" s="127"/>
    </row>
    <row r="163" spans="1:6">
      <c r="A163" s="127"/>
      <c r="B163" s="127"/>
      <c r="C163" s="127"/>
      <c r="D163" s="127"/>
      <c r="E163" s="127"/>
      <c r="F163" s="127"/>
    </row>
    <row r="164" spans="1:6">
      <c r="A164" s="127"/>
      <c r="B164" s="127"/>
      <c r="C164" s="127"/>
      <c r="D164" s="127"/>
      <c r="E164" s="127"/>
      <c r="F164" s="127"/>
    </row>
    <row r="165" spans="1:6">
      <c r="A165" s="127"/>
      <c r="B165" s="127"/>
      <c r="C165" s="127"/>
      <c r="D165" s="127"/>
      <c r="E165" s="127"/>
      <c r="F165" s="127"/>
    </row>
    <row r="166" spans="1:6">
      <c r="A166" s="127"/>
      <c r="B166" s="127"/>
      <c r="C166" s="127"/>
      <c r="D166" s="127"/>
      <c r="E166" s="127"/>
      <c r="F166" s="127"/>
    </row>
    <row r="167" spans="1:6">
      <c r="A167" s="127"/>
      <c r="B167" s="127"/>
      <c r="C167" s="127"/>
      <c r="D167" s="127"/>
      <c r="E167" s="127"/>
      <c r="F167" s="127"/>
    </row>
    <row r="168" spans="1:6">
      <c r="A168" s="127"/>
      <c r="B168" s="127"/>
      <c r="C168" s="127"/>
      <c r="D168" s="127"/>
      <c r="E168" s="127"/>
      <c r="F168" s="127"/>
    </row>
    <row r="169" spans="1:6">
      <c r="A169" s="127"/>
      <c r="B169" s="127"/>
      <c r="C169" s="127"/>
      <c r="D169" s="127"/>
      <c r="E169" s="127"/>
      <c r="F169" s="127"/>
    </row>
    <row r="170" spans="1:6">
      <c r="A170" s="127"/>
      <c r="B170" s="127"/>
      <c r="C170" s="127"/>
      <c r="D170" s="127"/>
      <c r="E170" s="127"/>
      <c r="F170" s="127"/>
    </row>
    <row r="171" spans="1:6">
      <c r="A171" s="127"/>
      <c r="B171" s="127"/>
      <c r="C171" s="127"/>
      <c r="D171" s="127"/>
      <c r="E171" s="127"/>
      <c r="F171" s="127"/>
    </row>
    <row r="172" spans="1:6">
      <c r="A172" s="127"/>
      <c r="B172" s="127"/>
      <c r="C172" s="127"/>
      <c r="D172" s="127"/>
      <c r="E172" s="127"/>
      <c r="F172" s="127"/>
    </row>
    <row r="173" spans="1:6">
      <c r="A173" s="127"/>
      <c r="B173" s="127"/>
      <c r="C173" s="127"/>
      <c r="D173" s="127"/>
      <c r="E173" s="127"/>
      <c r="F173" s="127"/>
    </row>
    <row r="174" spans="1:6">
      <c r="A174" s="127"/>
      <c r="B174" s="127"/>
      <c r="C174" s="127"/>
      <c r="D174" s="127"/>
      <c r="E174" s="127"/>
      <c r="F174" s="127"/>
    </row>
    <row r="175" spans="1:6">
      <c r="A175" s="127"/>
      <c r="B175" s="127"/>
      <c r="C175" s="127"/>
      <c r="D175" s="127"/>
      <c r="E175" s="127"/>
      <c r="F175" s="127"/>
    </row>
    <row r="176" spans="1:6">
      <c r="A176" s="127"/>
      <c r="B176" s="127"/>
      <c r="C176" s="127"/>
      <c r="D176" s="127"/>
      <c r="E176" s="127"/>
      <c r="F176" s="127"/>
    </row>
    <row r="177" spans="1:6">
      <c r="A177" s="127"/>
      <c r="B177" s="127"/>
      <c r="C177" s="127"/>
      <c r="D177" s="127"/>
      <c r="E177" s="127"/>
      <c r="F177" s="127"/>
    </row>
    <row r="178" spans="1:6">
      <c r="A178" s="127"/>
      <c r="B178" s="127"/>
      <c r="C178" s="127"/>
      <c r="D178" s="127"/>
      <c r="E178" s="127"/>
      <c r="F178" s="127"/>
    </row>
    <row r="179" spans="1:6">
      <c r="A179" s="127"/>
      <c r="B179" s="127"/>
      <c r="C179" s="127"/>
      <c r="D179" s="127"/>
      <c r="E179" s="127"/>
      <c r="F179" s="127"/>
    </row>
    <row r="180" spans="1:6">
      <c r="A180" s="127"/>
      <c r="B180" s="127"/>
      <c r="C180" s="127"/>
      <c r="D180" s="127"/>
      <c r="E180" s="127"/>
      <c r="F180" s="127"/>
    </row>
    <row r="181" spans="1:6">
      <c r="A181" s="127"/>
      <c r="B181" s="127"/>
      <c r="C181" s="127"/>
      <c r="D181" s="127"/>
      <c r="E181" s="127"/>
      <c r="F181" s="127"/>
    </row>
    <row r="182" spans="1:6">
      <c r="A182" s="127"/>
      <c r="B182" s="127"/>
      <c r="C182" s="127"/>
      <c r="D182" s="127"/>
      <c r="E182" s="127"/>
      <c r="F182" s="127"/>
    </row>
    <row r="183" spans="1:6">
      <c r="A183" s="127"/>
      <c r="B183" s="127"/>
      <c r="C183" s="127"/>
      <c r="D183" s="127"/>
      <c r="E183" s="127"/>
      <c r="F183" s="127"/>
    </row>
    <row r="184" spans="1:6">
      <c r="A184" s="127"/>
      <c r="B184" s="127"/>
      <c r="C184" s="127"/>
      <c r="D184" s="127"/>
      <c r="E184" s="127"/>
      <c r="F184" s="127"/>
    </row>
    <row r="185" spans="1:6">
      <c r="A185" s="127"/>
      <c r="B185" s="127"/>
      <c r="C185" s="127"/>
      <c r="D185" s="127"/>
      <c r="E185" s="127"/>
      <c r="F185" s="127"/>
    </row>
    <row r="186" spans="1:6">
      <c r="A186" s="127"/>
      <c r="B186" s="127"/>
      <c r="C186" s="127"/>
      <c r="D186" s="127"/>
      <c r="E186" s="127"/>
      <c r="F186" s="127"/>
    </row>
  </sheetData>
  <mergeCells count="15">
    <mergeCell ref="A106:F106"/>
    <mergeCell ref="A9:F11"/>
    <mergeCell ref="C12:F12"/>
    <mergeCell ref="A13:A16"/>
    <mergeCell ref="B13:B16"/>
    <mergeCell ref="C13:F13"/>
    <mergeCell ref="C14:C16"/>
    <mergeCell ref="D14:F14"/>
    <mergeCell ref="D15:E15"/>
    <mergeCell ref="F15:F16"/>
    <mergeCell ref="D1:F1"/>
    <mergeCell ref="D2:F2"/>
    <mergeCell ref="D3:F3"/>
    <mergeCell ref="D4:F4"/>
    <mergeCell ref="A105:F105"/>
  </mergeCells>
  <phoneticPr fontId="5" type="noConversion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9"/>
  <sheetViews>
    <sheetView tabSelected="1" zoomScale="135" zoomScaleNormal="135" workbookViewId="0">
      <selection activeCell="E6" sqref="E6"/>
    </sheetView>
  </sheetViews>
  <sheetFormatPr defaultRowHeight="12.75"/>
  <cols>
    <col min="1" max="1" width="4" customWidth="1"/>
    <col min="2" max="2" width="10.140625" customWidth="1"/>
    <col min="3" max="3" width="35.28515625" customWidth="1"/>
    <col min="4" max="5" width="10.140625" customWidth="1"/>
    <col min="6" max="6" width="11.28515625" customWidth="1"/>
    <col min="7" max="7" width="10.7109375" customWidth="1"/>
  </cols>
  <sheetData>
    <row r="1" spans="1:8" ht="14.1" customHeight="1">
      <c r="A1" s="3"/>
      <c r="B1" s="3"/>
      <c r="C1" s="3"/>
      <c r="D1" s="36"/>
      <c r="E1" s="250" t="s">
        <v>7</v>
      </c>
      <c r="F1" s="250"/>
      <c r="G1" s="250"/>
    </row>
    <row r="2" spans="1:8" ht="14.1" customHeight="1">
      <c r="A2" s="3"/>
      <c r="B2" s="3"/>
      <c r="C2" s="3"/>
      <c r="D2" s="36"/>
      <c r="E2" s="250" t="s">
        <v>344</v>
      </c>
      <c r="F2" s="250"/>
      <c r="G2" s="250"/>
    </row>
    <row r="3" spans="1:8" ht="14.1" customHeight="1">
      <c r="A3" s="1"/>
      <c r="B3" s="2"/>
      <c r="C3" s="3"/>
      <c r="D3" s="36"/>
      <c r="E3" s="250" t="s">
        <v>387</v>
      </c>
      <c r="F3" s="250"/>
      <c r="G3" s="250"/>
    </row>
    <row r="4" spans="1:8" ht="14.1" customHeight="1">
      <c r="A4" s="1"/>
      <c r="B4" s="2"/>
      <c r="C4" s="17"/>
      <c r="D4" s="17"/>
      <c r="E4" s="256" t="s">
        <v>195</v>
      </c>
      <c r="F4" s="256"/>
      <c r="G4" s="256"/>
    </row>
    <row r="5" spans="1:8" ht="15" customHeight="1">
      <c r="A5" s="1"/>
      <c r="B5" s="2"/>
      <c r="C5" s="17"/>
      <c r="D5" s="17"/>
      <c r="E5" s="17" t="s">
        <v>346</v>
      </c>
      <c r="F5" s="17"/>
      <c r="G5" s="17"/>
    </row>
    <row r="6" spans="1:8" ht="15" customHeight="1">
      <c r="A6" s="1"/>
      <c r="B6" s="2"/>
      <c r="C6" s="17"/>
      <c r="D6" s="17"/>
      <c r="E6" s="17" t="s">
        <v>472</v>
      </c>
      <c r="F6" s="17"/>
      <c r="G6" s="17"/>
    </row>
    <row r="7" spans="1:8" ht="15" customHeight="1">
      <c r="A7" s="1"/>
      <c r="B7" s="2"/>
      <c r="C7" s="17"/>
      <c r="D7" s="17"/>
      <c r="E7" s="17" t="s">
        <v>388</v>
      </c>
      <c r="F7" s="17"/>
      <c r="G7" s="17"/>
    </row>
    <row r="8" spans="1:8">
      <c r="A8" s="1"/>
      <c r="B8" s="2"/>
      <c r="C8" s="3"/>
      <c r="D8" s="17"/>
      <c r="E8" s="17"/>
      <c r="F8" s="17"/>
      <c r="G8" s="17"/>
    </row>
    <row r="9" spans="1:8" ht="12" customHeight="1">
      <c r="A9" s="255" t="s">
        <v>458</v>
      </c>
      <c r="B9" s="255"/>
      <c r="C9" s="255"/>
      <c r="D9" s="255"/>
      <c r="E9" s="255"/>
      <c r="F9" s="255"/>
      <c r="G9" s="255"/>
      <c r="H9" s="49"/>
    </row>
    <row r="10" spans="1:8" ht="12" customHeight="1">
      <c r="A10" s="255"/>
      <c r="B10" s="255"/>
      <c r="C10" s="255"/>
      <c r="D10" s="255"/>
      <c r="E10" s="255"/>
      <c r="F10" s="255"/>
      <c r="G10" s="255"/>
      <c r="H10" s="49"/>
    </row>
    <row r="11" spans="1:8" ht="15" customHeight="1">
      <c r="A11" s="1"/>
      <c r="B11" s="2"/>
      <c r="C11" s="3"/>
      <c r="D11" s="295"/>
      <c r="E11" s="295"/>
      <c r="F11" s="277" t="s">
        <v>389</v>
      </c>
      <c r="G11" s="277"/>
      <c r="H11" s="34"/>
    </row>
    <row r="12" spans="1:8">
      <c r="A12" s="237" t="s">
        <v>0</v>
      </c>
      <c r="B12" s="251" t="s">
        <v>1</v>
      </c>
      <c r="C12" s="237" t="s">
        <v>160</v>
      </c>
      <c r="D12" s="294" t="s">
        <v>178</v>
      </c>
      <c r="E12" s="245"/>
      <c r="F12" s="245"/>
      <c r="G12" s="246"/>
    </row>
    <row r="13" spans="1:8" ht="12.75" customHeight="1">
      <c r="A13" s="238"/>
      <c r="B13" s="252"/>
      <c r="C13" s="238"/>
      <c r="D13" s="237" t="s">
        <v>3</v>
      </c>
      <c r="E13" s="287" t="s">
        <v>4</v>
      </c>
      <c r="F13" s="287"/>
      <c r="G13" s="288"/>
    </row>
    <row r="14" spans="1:8">
      <c r="A14" s="238"/>
      <c r="B14" s="252"/>
      <c r="C14" s="238"/>
      <c r="D14" s="238"/>
      <c r="E14" s="289" t="s">
        <v>176</v>
      </c>
      <c r="F14" s="289"/>
      <c r="G14" s="237" t="s">
        <v>52</v>
      </c>
    </row>
    <row r="15" spans="1:8" ht="24.75" customHeight="1">
      <c r="A15" s="239"/>
      <c r="B15" s="253"/>
      <c r="C15" s="239"/>
      <c r="D15" s="239"/>
      <c r="E15" s="128" t="s">
        <v>177</v>
      </c>
      <c r="F15" s="130" t="s">
        <v>8</v>
      </c>
      <c r="G15" s="239"/>
    </row>
    <row r="16" spans="1:8" ht="12" customHeight="1">
      <c r="A16" s="5">
        <v>1</v>
      </c>
      <c r="B16" s="107" t="s">
        <v>5</v>
      </c>
      <c r="C16" s="4">
        <v>3</v>
      </c>
      <c r="D16" s="4">
        <v>5</v>
      </c>
      <c r="E16" s="4">
        <v>6</v>
      </c>
      <c r="F16" s="4">
        <v>7</v>
      </c>
      <c r="G16" s="4">
        <v>8</v>
      </c>
    </row>
    <row r="17" spans="1:11" ht="25.5">
      <c r="A17" s="103" t="s">
        <v>124</v>
      </c>
      <c r="B17" s="240" t="s">
        <v>10</v>
      </c>
      <c r="C17" s="18" t="s">
        <v>11</v>
      </c>
      <c r="D17" s="110">
        <f>SUM(D18:D24)</f>
        <v>9895800</v>
      </c>
      <c r="E17" s="110">
        <f>SUM(E18:E24)</f>
        <v>9863600</v>
      </c>
      <c r="F17" s="110">
        <f>SUM(F18:F24)</f>
        <v>6000600</v>
      </c>
      <c r="G17" s="110">
        <f>SUM(G18:G24)</f>
        <v>32200</v>
      </c>
    </row>
    <row r="18" spans="1:11">
      <c r="A18" s="106" t="s">
        <v>126</v>
      </c>
      <c r="B18" s="241"/>
      <c r="C18" s="19" t="s">
        <v>161</v>
      </c>
      <c r="D18" s="21">
        <v>4088400</v>
      </c>
      <c r="E18" s="21">
        <f t="shared" ref="E18:E24" si="0">D18-G18</f>
        <v>4065900</v>
      </c>
      <c r="F18" s="21">
        <v>2086500</v>
      </c>
      <c r="G18" s="21">
        <v>22500</v>
      </c>
    </row>
    <row r="19" spans="1:11">
      <c r="A19" s="106" t="s">
        <v>127</v>
      </c>
      <c r="B19" s="241"/>
      <c r="C19" s="19" t="s">
        <v>162</v>
      </c>
      <c r="D19" s="21">
        <f>5128000+1900-44000+1300</f>
        <v>5087200</v>
      </c>
      <c r="E19" s="21">
        <f t="shared" si="0"/>
        <v>5077500</v>
      </c>
      <c r="F19" s="21">
        <f>3577500+43200+4500-44400+188700</f>
        <v>3769500</v>
      </c>
      <c r="G19" s="21">
        <f>800+1800+7100</f>
        <v>9700</v>
      </c>
    </row>
    <row r="20" spans="1:11">
      <c r="A20" s="103" t="s">
        <v>128</v>
      </c>
      <c r="B20" s="241"/>
      <c r="C20" s="19" t="s">
        <v>163</v>
      </c>
      <c r="D20" s="42">
        <f>214800-15800</f>
        <v>199000</v>
      </c>
      <c r="E20" s="21">
        <f t="shared" si="0"/>
        <v>199000</v>
      </c>
      <c r="F20" s="42"/>
      <c r="G20" s="42"/>
      <c r="K20" s="48"/>
    </row>
    <row r="21" spans="1:11">
      <c r="A21" s="103" t="s">
        <v>129</v>
      </c>
      <c r="B21" s="241"/>
      <c r="C21" s="19" t="s">
        <v>459</v>
      </c>
      <c r="D21" s="42">
        <f>94400+16600+1600+51500</f>
        <v>164100</v>
      </c>
      <c r="E21" s="21">
        <f t="shared" si="0"/>
        <v>164100</v>
      </c>
      <c r="F21" s="42">
        <f>61300+12700+1200+39400</f>
        <v>114600</v>
      </c>
      <c r="G21" s="42"/>
    </row>
    <row r="22" spans="1:11">
      <c r="A22" s="103" t="s">
        <v>130</v>
      </c>
      <c r="B22" s="241"/>
      <c r="C22" s="19" t="s">
        <v>164</v>
      </c>
      <c r="D22" s="42">
        <v>271800</v>
      </c>
      <c r="E22" s="21">
        <f t="shared" si="0"/>
        <v>271800</v>
      </c>
      <c r="F22" s="42">
        <v>29100</v>
      </c>
      <c r="G22" s="42"/>
    </row>
    <row r="23" spans="1:11">
      <c r="A23" s="103"/>
      <c r="B23" s="241"/>
      <c r="C23" s="19" t="s">
        <v>229</v>
      </c>
      <c r="D23" s="42">
        <v>23200</v>
      </c>
      <c r="E23" s="21">
        <f t="shared" si="0"/>
        <v>23200</v>
      </c>
      <c r="F23" s="42"/>
      <c r="G23" s="42"/>
    </row>
    <row r="24" spans="1:11">
      <c r="A24" s="103" t="s">
        <v>131</v>
      </c>
      <c r="B24" s="241"/>
      <c r="C24" s="19" t="s">
        <v>460</v>
      </c>
      <c r="D24" s="42">
        <f>61000+1100</f>
        <v>62100</v>
      </c>
      <c r="E24" s="21">
        <f t="shared" si="0"/>
        <v>62100</v>
      </c>
      <c r="F24" s="42">
        <v>900</v>
      </c>
      <c r="G24" s="42"/>
    </row>
    <row r="25" spans="1:11" ht="25.5">
      <c r="A25" s="103" t="s">
        <v>132</v>
      </c>
      <c r="B25" s="296" t="s">
        <v>9</v>
      </c>
      <c r="C25" s="8" t="s">
        <v>17</v>
      </c>
      <c r="D25" s="111">
        <f>SUM(D26:D30)</f>
        <v>4043600</v>
      </c>
      <c r="E25" s="111">
        <f>SUM(E26:E30)</f>
        <v>4033600</v>
      </c>
      <c r="F25" s="111">
        <f>SUM(F26:F30)</f>
        <v>1203900</v>
      </c>
      <c r="G25" s="111">
        <f>SUM(G26:G30)</f>
        <v>10000</v>
      </c>
    </row>
    <row r="26" spans="1:11" ht="12" customHeight="1">
      <c r="A26" s="104" t="s">
        <v>133</v>
      </c>
      <c r="B26" s="297"/>
      <c r="C26" s="19" t="s">
        <v>161</v>
      </c>
      <c r="D26" s="216">
        <v>1353500</v>
      </c>
      <c r="E26" s="21">
        <f>D26-G26</f>
        <v>1353500</v>
      </c>
      <c r="F26" s="216">
        <v>403600</v>
      </c>
      <c r="G26" s="216"/>
    </row>
    <row r="27" spans="1:11">
      <c r="A27" s="104" t="s">
        <v>134</v>
      </c>
      <c r="B27" s="297"/>
      <c r="C27" s="19" t="s">
        <v>459</v>
      </c>
      <c r="D27" s="24">
        <f>253100+5100+400</f>
        <v>258600</v>
      </c>
      <c r="E27" s="21">
        <f>D27-G27</f>
        <v>258600</v>
      </c>
      <c r="F27" s="25">
        <f>151800+300</f>
        <v>152100</v>
      </c>
      <c r="G27" s="25"/>
    </row>
    <row r="28" spans="1:11" ht="12.75" customHeight="1">
      <c r="A28" s="104" t="s">
        <v>135</v>
      </c>
      <c r="B28" s="297"/>
      <c r="C28" s="19" t="s">
        <v>163</v>
      </c>
      <c r="D28" s="24">
        <v>689200</v>
      </c>
      <c r="E28" s="21">
        <f>D28-G28</f>
        <v>689200</v>
      </c>
      <c r="F28" s="24">
        <v>275100</v>
      </c>
      <c r="G28" s="24"/>
    </row>
    <row r="29" spans="1:11">
      <c r="A29" s="103" t="s">
        <v>136</v>
      </c>
      <c r="B29" s="297"/>
      <c r="C29" s="19" t="s">
        <v>164</v>
      </c>
      <c r="D29" s="24">
        <v>934700</v>
      </c>
      <c r="E29" s="21">
        <f>D29-G29</f>
        <v>924700</v>
      </c>
      <c r="F29" s="24">
        <v>367100</v>
      </c>
      <c r="G29" s="24">
        <v>10000</v>
      </c>
    </row>
    <row r="30" spans="1:11">
      <c r="A30" s="103" t="s">
        <v>137</v>
      </c>
      <c r="B30" s="297"/>
      <c r="C30" s="19" t="s">
        <v>229</v>
      </c>
      <c r="D30" s="42">
        <v>807600</v>
      </c>
      <c r="E30" s="42">
        <f>D30-G30</f>
        <v>807600</v>
      </c>
      <c r="F30" s="42">
        <v>6000</v>
      </c>
      <c r="G30" s="24"/>
    </row>
    <row r="31" spans="1:11" ht="25.5">
      <c r="A31" s="38" t="s">
        <v>138</v>
      </c>
      <c r="B31" s="296" t="s">
        <v>60</v>
      </c>
      <c r="C31" s="23" t="s">
        <v>390</v>
      </c>
      <c r="D31" s="134">
        <f>SUM(D32:D34)</f>
        <v>1375600</v>
      </c>
      <c r="E31" s="134">
        <f>SUM(E32:E34)</f>
        <v>1358800</v>
      </c>
      <c r="F31" s="111">
        <f>SUM(F32:F34)</f>
        <v>733300</v>
      </c>
      <c r="G31" s="111">
        <f>SUM(G32:G34)</f>
        <v>16800</v>
      </c>
    </row>
    <row r="32" spans="1:11">
      <c r="A32" s="38" t="s">
        <v>139</v>
      </c>
      <c r="B32" s="297"/>
      <c r="C32" s="19" t="s">
        <v>161</v>
      </c>
      <c r="D32" s="24">
        <v>1312800</v>
      </c>
      <c r="E32" s="21">
        <f>D32-G32</f>
        <v>1296000</v>
      </c>
      <c r="F32" s="24">
        <v>695400</v>
      </c>
      <c r="G32" s="24">
        <f>17400-600</f>
        <v>16800</v>
      </c>
    </row>
    <row r="33" spans="1:9" ht="12.75" customHeight="1">
      <c r="A33" s="38" t="s">
        <v>140</v>
      </c>
      <c r="B33" s="297"/>
      <c r="C33" s="19" t="s">
        <v>164</v>
      </c>
      <c r="D33" s="24">
        <v>13000</v>
      </c>
      <c r="E33" s="21">
        <f>D33-G33</f>
        <v>13000</v>
      </c>
      <c r="F33" s="24"/>
      <c r="G33" s="24"/>
    </row>
    <row r="34" spans="1:9" ht="12.75" customHeight="1">
      <c r="A34" s="38" t="s">
        <v>141</v>
      </c>
      <c r="B34" s="297"/>
      <c r="C34" s="19" t="s">
        <v>459</v>
      </c>
      <c r="D34" s="24">
        <f>43800+6000</f>
        <v>49800</v>
      </c>
      <c r="E34" s="21">
        <f>D34-G34</f>
        <v>49800</v>
      </c>
      <c r="F34" s="24">
        <f>33400+4500</f>
        <v>37900</v>
      </c>
      <c r="G34" s="24"/>
    </row>
    <row r="35" spans="1:9" ht="25.5">
      <c r="A35" s="103" t="s">
        <v>142</v>
      </c>
      <c r="B35" s="296" t="s">
        <v>20</v>
      </c>
      <c r="C35" s="23" t="s">
        <v>21</v>
      </c>
      <c r="D35" s="134">
        <f>SUM(D36:D40)</f>
        <v>3865900</v>
      </c>
      <c r="E35" s="134">
        <f>SUM(E36:E40)</f>
        <v>3419300</v>
      </c>
      <c r="F35" s="111">
        <f>SUM(F36:F40)</f>
        <v>1778100</v>
      </c>
      <c r="G35" s="111">
        <f>SUM(G36:G40)</f>
        <v>446600</v>
      </c>
    </row>
    <row r="36" spans="1:9">
      <c r="A36" s="105" t="s">
        <v>143</v>
      </c>
      <c r="B36" s="297"/>
      <c r="C36" s="19" t="s">
        <v>161</v>
      </c>
      <c r="D36" s="24">
        <f>2932700-10000</f>
        <v>2922700</v>
      </c>
      <c r="E36" s="21">
        <f t="shared" ref="E36:E50" si="1">D36-G36</f>
        <v>2481100</v>
      </c>
      <c r="F36" s="24">
        <v>1246900</v>
      </c>
      <c r="G36" s="24">
        <f>424300+17300</f>
        <v>441600</v>
      </c>
    </row>
    <row r="37" spans="1:9">
      <c r="A37" s="103" t="s">
        <v>145</v>
      </c>
      <c r="B37" s="297"/>
      <c r="C37" s="19" t="s">
        <v>163</v>
      </c>
      <c r="D37" s="24">
        <v>884400</v>
      </c>
      <c r="E37" s="21">
        <f t="shared" si="1"/>
        <v>879400</v>
      </c>
      <c r="F37" s="24">
        <v>531000</v>
      </c>
      <c r="G37" s="24">
        <v>5000</v>
      </c>
    </row>
    <row r="38" spans="1:9">
      <c r="A38" s="103" t="s">
        <v>147</v>
      </c>
      <c r="B38" s="297"/>
      <c r="C38" s="19" t="s">
        <v>459</v>
      </c>
      <c r="D38" s="24">
        <v>300</v>
      </c>
      <c r="E38" s="21">
        <f t="shared" si="1"/>
        <v>300</v>
      </c>
      <c r="F38" s="24">
        <v>200</v>
      </c>
      <c r="G38" s="24"/>
    </row>
    <row r="39" spans="1:9">
      <c r="A39" s="103" t="s">
        <v>149</v>
      </c>
      <c r="B39" s="297"/>
      <c r="C39" s="19" t="s">
        <v>229</v>
      </c>
      <c r="D39" s="24">
        <v>30000</v>
      </c>
      <c r="E39" s="21">
        <f t="shared" si="1"/>
        <v>30000</v>
      </c>
      <c r="F39" s="24"/>
      <c r="G39" s="24"/>
    </row>
    <row r="40" spans="1:9">
      <c r="A40" s="103" t="s">
        <v>151</v>
      </c>
      <c r="B40" s="297"/>
      <c r="C40" s="19" t="s">
        <v>164</v>
      </c>
      <c r="D40" s="24">
        <v>28500</v>
      </c>
      <c r="E40" s="21">
        <f t="shared" si="1"/>
        <v>28500</v>
      </c>
      <c r="F40" s="24"/>
      <c r="G40" s="11"/>
    </row>
    <row r="41" spans="1:9" ht="25.5">
      <c r="A41" s="103" t="s">
        <v>152</v>
      </c>
      <c r="B41" s="296" t="s">
        <v>23</v>
      </c>
      <c r="C41" s="108" t="s">
        <v>159</v>
      </c>
      <c r="D41" s="111">
        <f>SUM(D42:D42)</f>
        <v>843000</v>
      </c>
      <c r="E41" s="31">
        <f>SUM(E42:E42)</f>
        <v>822000</v>
      </c>
      <c r="F41" s="31">
        <f>SUM(F42:F42)</f>
        <v>0</v>
      </c>
      <c r="G41" s="111">
        <f>SUM(G42:G42)</f>
        <v>21000</v>
      </c>
    </row>
    <row r="42" spans="1:9">
      <c r="A42" s="103" t="s">
        <v>153</v>
      </c>
      <c r="B42" s="297"/>
      <c r="C42" s="19" t="s">
        <v>161</v>
      </c>
      <c r="D42" s="24">
        <f>725400+107600+10000</f>
        <v>843000</v>
      </c>
      <c r="E42" s="21">
        <f>D42-G42</f>
        <v>822000</v>
      </c>
      <c r="F42" s="31"/>
      <c r="G42" s="29">
        <v>21000</v>
      </c>
    </row>
    <row r="43" spans="1:9" ht="25.5">
      <c r="A43" s="103" t="s">
        <v>154</v>
      </c>
      <c r="B43" s="296" t="s">
        <v>82</v>
      </c>
      <c r="C43" s="108" t="s">
        <v>308</v>
      </c>
      <c r="D43" s="111">
        <f>SUM(D44:D46)</f>
        <v>3135000</v>
      </c>
      <c r="E43" s="31">
        <f>SUM(E44:E46)</f>
        <v>1329600</v>
      </c>
      <c r="F43" s="31">
        <f>SUM(F44:F46)</f>
        <v>101400</v>
      </c>
      <c r="G43" s="111">
        <f>SUM(G44:G46)</f>
        <v>1805400</v>
      </c>
    </row>
    <row r="44" spans="1:9" ht="12.75" customHeight="1">
      <c r="A44" s="103" t="s">
        <v>155</v>
      </c>
      <c r="B44" s="297"/>
      <c r="C44" s="19" t="s">
        <v>161</v>
      </c>
      <c r="D44" s="24">
        <v>815700</v>
      </c>
      <c r="E44" s="21">
        <f t="shared" si="1"/>
        <v>779900</v>
      </c>
      <c r="F44" s="24">
        <v>69600</v>
      </c>
      <c r="G44" s="24">
        <v>35800</v>
      </c>
    </row>
    <row r="45" spans="1:9" ht="12.75" customHeight="1">
      <c r="A45" s="103" t="s">
        <v>250</v>
      </c>
      <c r="B45" s="297"/>
      <c r="C45" s="19" t="s">
        <v>163</v>
      </c>
      <c r="D45" s="24">
        <v>40000</v>
      </c>
      <c r="E45" s="21">
        <f>D45-G45</f>
        <v>40000</v>
      </c>
      <c r="F45" s="24">
        <v>26600</v>
      </c>
      <c r="G45" s="24"/>
    </row>
    <row r="46" spans="1:9" ht="12.75" customHeight="1">
      <c r="A46" s="103" t="s">
        <v>251</v>
      </c>
      <c r="B46" s="297"/>
      <c r="C46" s="19" t="s">
        <v>459</v>
      </c>
      <c r="D46" s="24">
        <f>1007900+1264600+6800</f>
        <v>2279300</v>
      </c>
      <c r="E46" s="21">
        <f>D46-G46</f>
        <v>509700</v>
      </c>
      <c r="F46" s="24">
        <v>5200</v>
      </c>
      <c r="G46" s="24">
        <f>507900+1264600-2900</f>
        <v>1769600</v>
      </c>
      <c r="I46" s="195"/>
    </row>
    <row r="47" spans="1:9" ht="12.75" customHeight="1">
      <c r="A47" s="103" t="s">
        <v>252</v>
      </c>
      <c r="B47" s="296" t="s">
        <v>83</v>
      </c>
      <c r="C47" s="23" t="s">
        <v>85</v>
      </c>
      <c r="D47" s="132">
        <f>SUM(D48:D50)</f>
        <v>1168100</v>
      </c>
      <c r="E47" s="133">
        <f>SUM(E48:E50)</f>
        <v>51200</v>
      </c>
      <c r="F47" s="133">
        <f>SUM(F48:F50)</f>
        <v>200</v>
      </c>
      <c r="G47" s="133">
        <f>SUM(G48:G50)</f>
        <v>1116900</v>
      </c>
    </row>
    <row r="48" spans="1:9">
      <c r="A48" s="103" t="s">
        <v>253</v>
      </c>
      <c r="B48" s="297"/>
      <c r="C48" s="19" t="s">
        <v>161</v>
      </c>
      <c r="D48" s="24">
        <v>135900</v>
      </c>
      <c r="E48" s="21">
        <f t="shared" si="1"/>
        <v>49700</v>
      </c>
      <c r="F48" s="22">
        <v>200</v>
      </c>
      <c r="G48" s="22">
        <v>86200</v>
      </c>
    </row>
    <row r="49" spans="1:8">
      <c r="A49" s="103" t="s">
        <v>254</v>
      </c>
      <c r="B49" s="297"/>
      <c r="C49" s="19" t="s">
        <v>461</v>
      </c>
      <c r="D49" s="24">
        <v>1011000</v>
      </c>
      <c r="E49" s="21">
        <f>D49-G49</f>
        <v>0</v>
      </c>
      <c r="F49" s="22"/>
      <c r="G49" s="22">
        <v>1011000</v>
      </c>
    </row>
    <row r="50" spans="1:8">
      <c r="A50" s="40" t="s">
        <v>255</v>
      </c>
      <c r="B50" s="298"/>
      <c r="C50" s="19" t="s">
        <v>229</v>
      </c>
      <c r="D50" s="24">
        <v>21200</v>
      </c>
      <c r="E50" s="21">
        <f t="shared" si="1"/>
        <v>1500</v>
      </c>
      <c r="F50" s="22"/>
      <c r="G50" s="22">
        <v>19700</v>
      </c>
    </row>
    <row r="51" spans="1:8">
      <c r="A51" s="7" t="s">
        <v>256</v>
      </c>
      <c r="B51" s="109"/>
      <c r="C51" s="15" t="s">
        <v>446</v>
      </c>
      <c r="D51" s="28">
        <f>SUM(D47+D43+D41+D35+D31+D25+D17)</f>
        <v>24327000</v>
      </c>
      <c r="E51" s="28">
        <f>SUM(E47+E43+E41+E35+E31+E25+E17)</f>
        <v>20878100</v>
      </c>
      <c r="F51" s="28">
        <f>SUM(F47+F43+F41+F35+F31+F25+F17)</f>
        <v>9817500</v>
      </c>
      <c r="G51" s="28">
        <f>SUM(G47+G43+G41+G35+G31+G25+G17)</f>
        <v>3448900</v>
      </c>
    </row>
    <row r="52" spans="1:8" ht="25.5">
      <c r="A52" s="68" t="s">
        <v>257</v>
      </c>
      <c r="B52" s="217"/>
      <c r="C52" s="210" t="s">
        <v>448</v>
      </c>
      <c r="D52" s="134">
        <v>344300</v>
      </c>
      <c r="E52" s="134">
        <f>D52-G52</f>
        <v>0</v>
      </c>
      <c r="F52" s="134"/>
      <c r="G52" s="134">
        <v>344300</v>
      </c>
    </row>
    <row r="53" spans="1:8">
      <c r="A53" s="172" t="s">
        <v>258</v>
      </c>
      <c r="B53" s="163"/>
      <c r="C53" s="164" t="s">
        <v>190</v>
      </c>
      <c r="D53" s="211">
        <f>D51-D52</f>
        <v>23982700</v>
      </c>
      <c r="E53" s="211">
        <f>E51-E52</f>
        <v>20878100</v>
      </c>
      <c r="F53" s="211">
        <f>F51-F52</f>
        <v>9817500</v>
      </c>
      <c r="G53" s="211">
        <f>G51-G52</f>
        <v>3104600</v>
      </c>
    </row>
    <row r="54" spans="1:8">
      <c r="A54" s="292" t="s">
        <v>339</v>
      </c>
      <c r="B54" s="292"/>
      <c r="C54" s="292"/>
      <c r="D54" s="292"/>
      <c r="E54" s="292"/>
      <c r="F54" s="292"/>
      <c r="G54" s="292"/>
      <c r="H54" s="292"/>
    </row>
    <row r="55" spans="1:8">
      <c r="A55" s="48"/>
      <c r="B55" s="48"/>
      <c r="C55" s="48"/>
      <c r="D55" s="48"/>
      <c r="E55" s="48"/>
      <c r="F55" s="48"/>
      <c r="G55" s="48"/>
    </row>
    <row r="56" spans="1:8">
      <c r="A56" s="48"/>
      <c r="B56" s="48"/>
      <c r="C56" s="48"/>
      <c r="D56" s="48"/>
      <c r="E56" s="48"/>
      <c r="F56" s="48"/>
      <c r="G56" s="48"/>
    </row>
    <row r="57" spans="1:8">
      <c r="A57" s="48"/>
      <c r="B57" s="48"/>
      <c r="C57" s="48"/>
      <c r="D57" s="48"/>
      <c r="E57" s="48"/>
      <c r="F57" s="48"/>
      <c r="G57" s="48"/>
    </row>
    <row r="58" spans="1:8">
      <c r="A58" s="48"/>
      <c r="B58" s="48"/>
      <c r="C58" s="48"/>
      <c r="D58" s="48"/>
      <c r="E58" s="48"/>
      <c r="F58" s="48"/>
      <c r="G58" s="48"/>
    </row>
    <row r="59" spans="1:8">
      <c r="A59" s="48"/>
      <c r="B59" s="48"/>
      <c r="C59" s="48"/>
      <c r="D59" s="48"/>
      <c r="E59" s="48"/>
      <c r="F59" s="48"/>
      <c r="G59" s="48"/>
    </row>
  </sheetData>
  <mergeCells count="23">
    <mergeCell ref="B47:B50"/>
    <mergeCell ref="B17:B24"/>
    <mergeCell ref="B25:B30"/>
    <mergeCell ref="B31:B34"/>
    <mergeCell ref="B35:B40"/>
    <mergeCell ref="B41:B42"/>
    <mergeCell ref="B43:B46"/>
    <mergeCell ref="A54:H54"/>
    <mergeCell ref="E1:G1"/>
    <mergeCell ref="E2:G2"/>
    <mergeCell ref="E3:G3"/>
    <mergeCell ref="E4:G4"/>
    <mergeCell ref="A9:G10"/>
    <mergeCell ref="D11:E11"/>
    <mergeCell ref="F11:G11"/>
    <mergeCell ref="A12:A15"/>
    <mergeCell ref="B12:B15"/>
    <mergeCell ref="C12:C15"/>
    <mergeCell ref="D12:G12"/>
    <mergeCell ref="D13:D15"/>
    <mergeCell ref="E13:G13"/>
    <mergeCell ref="E14:F14"/>
    <mergeCell ref="G14:G15"/>
  </mergeCells>
  <phoneticPr fontId="5" type="noConversion"/>
  <pageMargins left="1.3779527559055118" right="0.3937007874015748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 pr.pajamos</vt:lpstr>
      <vt:lpstr>2 pr.deleg.</vt:lpstr>
      <vt:lpstr>4 pr. mok. krep. </vt:lpstr>
      <vt:lpstr>5 pr.įst. pajamos</vt:lpstr>
      <vt:lpstr>6 pr. bendrosios dot.komp. </vt:lpstr>
      <vt:lpstr>7 pr. savivaldybės</vt:lpstr>
      <vt:lpstr>8 pr. asignav. valdytojus</vt:lpstr>
      <vt:lpstr>9 pr. bendros išlaidos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Prienai</dc:creator>
  <cp:lastModifiedBy>User</cp:lastModifiedBy>
  <cp:lastPrinted>2016-11-24T12:23:05Z</cp:lastPrinted>
  <dcterms:created xsi:type="dcterms:W3CDTF">2011-02-01T07:14:51Z</dcterms:created>
  <dcterms:modified xsi:type="dcterms:W3CDTF">2016-11-24T15:28:10Z</dcterms:modified>
</cp:coreProperties>
</file>