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3_2025\2023_2025_SVP_12_07\"/>
    </mc:Choice>
  </mc:AlternateContent>
  <xr:revisionPtr revIDLastSave="0" documentId="13_ncr:1_{1AF1AA78-D6CD-4B1F-9B40-5D4C4FD107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764" i="2" l="1"/>
  <c r="F16" i="2"/>
  <c r="G16" i="2"/>
  <c r="H16" i="2"/>
  <c r="I16" i="2"/>
  <c r="F18" i="2"/>
  <c r="G18" i="2"/>
  <c r="H18" i="2"/>
  <c r="I18" i="2"/>
  <c r="F27" i="2"/>
  <c r="G27" i="2"/>
  <c r="H27" i="2"/>
  <c r="I27" i="2"/>
  <c r="F29" i="2"/>
  <c r="G29" i="2"/>
  <c r="H29" i="2"/>
  <c r="I29" i="2"/>
  <c r="F33" i="2"/>
  <c r="F32" i="2" s="1"/>
  <c r="G33" i="2"/>
  <c r="H33" i="2"/>
  <c r="I33" i="2"/>
  <c r="F40" i="2"/>
  <c r="G40" i="2"/>
  <c r="H40" i="2"/>
  <c r="H32" i="2" s="1"/>
  <c r="I40" i="2"/>
  <c r="F44" i="2"/>
  <c r="F43" i="2" s="1"/>
  <c r="G44" i="2"/>
  <c r="G43" i="2" s="1"/>
  <c r="H44" i="2"/>
  <c r="H43" i="2" s="1"/>
  <c r="I44" i="2"/>
  <c r="I43" i="2" s="1"/>
  <c r="F49" i="2"/>
  <c r="G49" i="2"/>
  <c r="H49" i="2"/>
  <c r="I49" i="2"/>
  <c r="F60" i="2"/>
  <c r="F56" i="2" s="1"/>
  <c r="G60" i="2"/>
  <c r="G56" i="2" s="1"/>
  <c r="H60" i="2"/>
  <c r="H56" i="2" s="1"/>
  <c r="I60" i="2"/>
  <c r="I56" i="2" s="1"/>
  <c r="F64" i="2"/>
  <c r="G64" i="2"/>
  <c r="H64" i="2"/>
  <c r="I64" i="2"/>
  <c r="F74" i="2"/>
  <c r="G74" i="2"/>
  <c r="H74" i="2"/>
  <c r="I74" i="2"/>
  <c r="F76" i="2"/>
  <c r="G76" i="2"/>
  <c r="H76" i="2"/>
  <c r="I76" i="2"/>
  <c r="F80" i="2"/>
  <c r="G80" i="2"/>
  <c r="H80" i="2"/>
  <c r="I80" i="2"/>
  <c r="F85" i="2"/>
  <c r="G85" i="2"/>
  <c r="H85" i="2"/>
  <c r="I85" i="2"/>
  <c r="F88" i="2"/>
  <c r="G88" i="2"/>
  <c r="H88" i="2"/>
  <c r="I88" i="2"/>
  <c r="F96" i="2"/>
  <c r="G96" i="2"/>
  <c r="H96" i="2"/>
  <c r="I96" i="2"/>
  <c r="F100" i="2"/>
  <c r="G100" i="2"/>
  <c r="H100" i="2"/>
  <c r="I100" i="2"/>
  <c r="F102" i="2"/>
  <c r="G102" i="2"/>
  <c r="H102" i="2"/>
  <c r="I102" i="2"/>
  <c r="F105" i="2"/>
  <c r="G105" i="2"/>
  <c r="H105" i="2"/>
  <c r="I105" i="2"/>
  <c r="F111" i="2"/>
  <c r="G111" i="2"/>
  <c r="H111" i="2"/>
  <c r="I111" i="2"/>
  <c r="F114" i="2"/>
  <c r="G114" i="2"/>
  <c r="H114" i="2"/>
  <c r="I114" i="2"/>
  <c r="F117" i="2"/>
  <c r="G117" i="2"/>
  <c r="H117" i="2"/>
  <c r="I117" i="2"/>
  <c r="F120" i="2"/>
  <c r="G120" i="2"/>
  <c r="H120" i="2"/>
  <c r="I120" i="2"/>
  <c r="F124" i="2"/>
  <c r="G124" i="2"/>
  <c r="H124" i="2"/>
  <c r="I124" i="2"/>
  <c r="F126" i="2"/>
  <c r="G126" i="2"/>
  <c r="H126" i="2"/>
  <c r="I126" i="2"/>
  <c r="F131" i="2"/>
  <c r="G131" i="2"/>
  <c r="H131" i="2"/>
  <c r="I131" i="2"/>
  <c r="F134" i="2"/>
  <c r="G134" i="2"/>
  <c r="H134" i="2"/>
  <c r="I134" i="2"/>
  <c r="F138" i="2"/>
  <c r="G138" i="2"/>
  <c r="H138" i="2"/>
  <c r="I138" i="2"/>
  <c r="F141" i="2"/>
  <c r="G141" i="2"/>
  <c r="H141" i="2"/>
  <c r="I141" i="2"/>
  <c r="F149" i="2"/>
  <c r="F147" i="2" s="1"/>
  <c r="G149" i="2"/>
  <c r="G147" i="2" s="1"/>
  <c r="H149" i="2"/>
  <c r="H147" i="2" s="1"/>
  <c r="I149" i="2"/>
  <c r="I147" i="2" s="1"/>
  <c r="F153" i="2"/>
  <c r="G153" i="2"/>
  <c r="H153" i="2"/>
  <c r="I153" i="2"/>
  <c r="F155" i="2"/>
  <c r="G155" i="2"/>
  <c r="H155" i="2"/>
  <c r="I155" i="2"/>
  <c r="F162" i="2"/>
  <c r="G162" i="2"/>
  <c r="H162" i="2"/>
  <c r="H161" i="2" s="1"/>
  <c r="I162" i="2"/>
  <c r="F167" i="2"/>
  <c r="G167" i="2"/>
  <c r="H167" i="2"/>
  <c r="I167" i="2"/>
  <c r="F171" i="2"/>
  <c r="G171" i="2"/>
  <c r="H171" i="2"/>
  <c r="I171" i="2"/>
  <c r="F174" i="2"/>
  <c r="G174" i="2"/>
  <c r="H174" i="2"/>
  <c r="I174" i="2"/>
  <c r="F177" i="2"/>
  <c r="G177" i="2"/>
  <c r="H177" i="2"/>
  <c r="I177" i="2"/>
  <c r="F180" i="2"/>
  <c r="G180" i="2"/>
  <c r="H180" i="2"/>
  <c r="I180" i="2"/>
  <c r="F183" i="2"/>
  <c r="G183" i="2"/>
  <c r="H183" i="2"/>
  <c r="I183" i="2"/>
  <c r="F187" i="2"/>
  <c r="G187" i="2"/>
  <c r="H187" i="2"/>
  <c r="I187" i="2"/>
  <c r="F191" i="2"/>
  <c r="G191" i="2"/>
  <c r="H191" i="2"/>
  <c r="I191" i="2"/>
  <c r="F195" i="2"/>
  <c r="G195" i="2"/>
  <c r="H195" i="2"/>
  <c r="I195" i="2"/>
  <c r="F199" i="2"/>
  <c r="G199" i="2"/>
  <c r="H199" i="2"/>
  <c r="I199" i="2"/>
  <c r="F204" i="2"/>
  <c r="G204" i="2"/>
  <c r="H204" i="2"/>
  <c r="I204" i="2"/>
  <c r="F207" i="2"/>
  <c r="G207" i="2"/>
  <c r="H207" i="2"/>
  <c r="I207" i="2"/>
  <c r="F213" i="2"/>
  <c r="G213" i="2"/>
  <c r="H213" i="2"/>
  <c r="I213" i="2"/>
  <c r="F219" i="2"/>
  <c r="G219" i="2"/>
  <c r="H219" i="2"/>
  <c r="I219" i="2"/>
  <c r="F222" i="2"/>
  <c r="G222" i="2"/>
  <c r="H222" i="2"/>
  <c r="I222" i="2"/>
  <c r="F229" i="2"/>
  <c r="G229" i="2"/>
  <c r="H229" i="2"/>
  <c r="I229" i="2"/>
  <c r="F233" i="2"/>
  <c r="G233" i="2"/>
  <c r="H233" i="2"/>
  <c r="I233" i="2"/>
  <c r="F243" i="2"/>
  <c r="G243" i="2"/>
  <c r="H243" i="2"/>
  <c r="I243" i="2"/>
  <c r="F246" i="2"/>
  <c r="G246" i="2"/>
  <c r="H246" i="2"/>
  <c r="I246" i="2"/>
  <c r="F249" i="2"/>
  <c r="G249" i="2"/>
  <c r="H249" i="2"/>
  <c r="I249" i="2"/>
  <c r="F252" i="2"/>
  <c r="G252" i="2"/>
  <c r="H252" i="2"/>
  <c r="I252" i="2"/>
  <c r="F258" i="2"/>
  <c r="G258" i="2"/>
  <c r="H258" i="2"/>
  <c r="I258" i="2"/>
  <c r="F260" i="2"/>
  <c r="G260" i="2"/>
  <c r="H260" i="2"/>
  <c r="I260" i="2"/>
  <c r="F264" i="2"/>
  <c r="G264" i="2"/>
  <c r="H264" i="2"/>
  <c r="I264" i="2"/>
  <c r="F275" i="2"/>
  <c r="G275" i="2"/>
  <c r="H275" i="2"/>
  <c r="I275" i="2"/>
  <c r="F280" i="2"/>
  <c r="F279" i="2" s="1"/>
  <c r="G280" i="2"/>
  <c r="G279" i="2" s="1"/>
  <c r="H280" i="2"/>
  <c r="H279" i="2" s="1"/>
  <c r="I280" i="2"/>
  <c r="I279" i="2" s="1"/>
  <c r="F285" i="2"/>
  <c r="G285" i="2"/>
  <c r="H285" i="2"/>
  <c r="I285" i="2"/>
  <c r="F289" i="2"/>
  <c r="G289" i="2"/>
  <c r="H289" i="2"/>
  <c r="I289" i="2"/>
  <c r="F295" i="2"/>
  <c r="G295" i="2"/>
  <c r="H295" i="2"/>
  <c r="I295" i="2"/>
  <c r="F299" i="2"/>
  <c r="G299" i="2"/>
  <c r="H299" i="2"/>
  <c r="I299" i="2"/>
  <c r="F307" i="2"/>
  <c r="G307" i="2"/>
  <c r="H307" i="2"/>
  <c r="I307" i="2"/>
  <c r="F315" i="2"/>
  <c r="G315" i="2"/>
  <c r="H315" i="2"/>
  <c r="I315" i="2"/>
  <c r="F320" i="2"/>
  <c r="G320" i="2"/>
  <c r="H320" i="2"/>
  <c r="I320" i="2"/>
  <c r="F322" i="2"/>
  <c r="G322" i="2"/>
  <c r="H322" i="2"/>
  <c r="I322" i="2"/>
  <c r="F325" i="2"/>
  <c r="G325" i="2"/>
  <c r="H325" i="2"/>
  <c r="I325" i="2"/>
  <c r="F329" i="2"/>
  <c r="G329" i="2"/>
  <c r="H329" i="2"/>
  <c r="I329" i="2"/>
  <c r="F338" i="2"/>
  <c r="G338" i="2"/>
  <c r="H338" i="2"/>
  <c r="I338" i="2"/>
  <c r="F342" i="2"/>
  <c r="G342" i="2"/>
  <c r="H342" i="2"/>
  <c r="I342" i="2"/>
  <c r="F345" i="2"/>
  <c r="G345" i="2"/>
  <c r="H345" i="2"/>
  <c r="I345" i="2"/>
  <c r="F347" i="2"/>
  <c r="G347" i="2"/>
  <c r="H347" i="2"/>
  <c r="I347" i="2"/>
  <c r="F352" i="2"/>
  <c r="G352" i="2"/>
  <c r="H352" i="2"/>
  <c r="I352" i="2"/>
  <c r="F354" i="2"/>
  <c r="G354" i="2"/>
  <c r="H354" i="2"/>
  <c r="I354" i="2"/>
  <c r="F358" i="2"/>
  <c r="F357" i="2" s="1"/>
  <c r="G358" i="2"/>
  <c r="G357" i="2" s="1"/>
  <c r="H358" i="2"/>
  <c r="H357" i="2" s="1"/>
  <c r="I358" i="2"/>
  <c r="I357" i="2" s="1"/>
  <c r="F365" i="2"/>
  <c r="G365" i="2"/>
  <c r="H365" i="2"/>
  <c r="I365" i="2"/>
  <c r="F372" i="2"/>
  <c r="G372" i="2"/>
  <c r="H372" i="2"/>
  <c r="I372" i="2"/>
  <c r="F374" i="2"/>
  <c r="G374" i="2"/>
  <c r="H374" i="2"/>
  <c r="I374" i="2"/>
  <c r="F380" i="2"/>
  <c r="G380" i="2"/>
  <c r="H380" i="2"/>
  <c r="I380" i="2"/>
  <c r="F394" i="2"/>
  <c r="G394" i="2"/>
  <c r="H394" i="2"/>
  <c r="I394" i="2"/>
  <c r="F404" i="2"/>
  <c r="G404" i="2"/>
  <c r="H404" i="2"/>
  <c r="I404" i="2"/>
  <c r="F407" i="2"/>
  <c r="G407" i="2"/>
  <c r="H407" i="2"/>
  <c r="I407" i="2"/>
  <c r="F410" i="2"/>
  <c r="G410" i="2"/>
  <c r="H410" i="2"/>
  <c r="I410" i="2"/>
  <c r="F413" i="2"/>
  <c r="G413" i="2"/>
  <c r="H413" i="2"/>
  <c r="I413" i="2"/>
  <c r="F421" i="2"/>
  <c r="G421" i="2"/>
  <c r="H421" i="2"/>
  <c r="I421" i="2"/>
  <c r="F425" i="2"/>
  <c r="G425" i="2"/>
  <c r="H425" i="2"/>
  <c r="I425" i="2"/>
  <c r="F436" i="2"/>
  <c r="G436" i="2"/>
  <c r="H436" i="2"/>
  <c r="I436" i="2"/>
  <c r="F441" i="2"/>
  <c r="G441" i="2"/>
  <c r="H441" i="2"/>
  <c r="I441" i="2"/>
  <c r="F444" i="2"/>
  <c r="G444" i="2"/>
  <c r="H444" i="2"/>
  <c r="I444" i="2"/>
  <c r="F449" i="2"/>
  <c r="G449" i="2"/>
  <c r="H449" i="2"/>
  <c r="I449" i="2"/>
  <c r="F452" i="2"/>
  <c r="G452" i="2"/>
  <c r="H452" i="2"/>
  <c r="I452" i="2"/>
  <c r="F457" i="2"/>
  <c r="G457" i="2"/>
  <c r="H457" i="2"/>
  <c r="I457" i="2"/>
  <c r="F461" i="2"/>
  <c r="G461" i="2"/>
  <c r="H461" i="2"/>
  <c r="I461" i="2"/>
  <c r="F463" i="2"/>
  <c r="G463" i="2"/>
  <c r="H463" i="2"/>
  <c r="I463" i="2"/>
  <c r="F469" i="2"/>
  <c r="G469" i="2"/>
  <c r="H469" i="2"/>
  <c r="I469" i="2"/>
  <c r="F472" i="2"/>
  <c r="G472" i="2"/>
  <c r="H472" i="2"/>
  <c r="I472" i="2"/>
  <c r="F477" i="2"/>
  <c r="G477" i="2"/>
  <c r="H477" i="2"/>
  <c r="I477" i="2"/>
  <c r="F482" i="2"/>
  <c r="G482" i="2"/>
  <c r="H482" i="2"/>
  <c r="I482" i="2"/>
  <c r="F486" i="2"/>
  <c r="G486" i="2"/>
  <c r="H486" i="2"/>
  <c r="I486" i="2"/>
  <c r="F493" i="2"/>
  <c r="G493" i="2"/>
  <c r="H493" i="2"/>
  <c r="I493" i="2"/>
  <c r="F495" i="2"/>
  <c r="G495" i="2"/>
  <c r="H495" i="2"/>
  <c r="I495" i="2"/>
  <c r="F499" i="2"/>
  <c r="G499" i="2"/>
  <c r="H499" i="2"/>
  <c r="I499" i="2"/>
  <c r="F503" i="2"/>
  <c r="G503" i="2"/>
  <c r="H503" i="2"/>
  <c r="I503" i="2"/>
  <c r="F513" i="2"/>
  <c r="G513" i="2"/>
  <c r="H513" i="2"/>
  <c r="I513" i="2"/>
  <c r="F518" i="2"/>
  <c r="G518" i="2"/>
  <c r="H518" i="2"/>
  <c r="I518" i="2"/>
  <c r="F521" i="2"/>
  <c r="G521" i="2"/>
  <c r="H521" i="2"/>
  <c r="I521" i="2"/>
  <c r="F525" i="2"/>
  <c r="G525" i="2"/>
  <c r="H525" i="2"/>
  <c r="I525" i="2"/>
  <c r="F531" i="2"/>
  <c r="G531" i="2"/>
  <c r="H531" i="2"/>
  <c r="I531" i="2"/>
  <c r="F536" i="2"/>
  <c r="G536" i="2"/>
  <c r="H536" i="2"/>
  <c r="I536" i="2"/>
  <c r="F540" i="2"/>
  <c r="G540" i="2"/>
  <c r="H540" i="2"/>
  <c r="I540" i="2"/>
  <c r="F544" i="2"/>
  <c r="G544" i="2"/>
  <c r="H544" i="2"/>
  <c r="I544" i="2"/>
  <c r="F547" i="2"/>
  <c r="G547" i="2"/>
  <c r="H547" i="2"/>
  <c r="I547" i="2"/>
  <c r="F550" i="2"/>
  <c r="G550" i="2"/>
  <c r="H550" i="2"/>
  <c r="I550" i="2"/>
  <c r="F559" i="2"/>
  <c r="G559" i="2"/>
  <c r="H559" i="2"/>
  <c r="I559" i="2"/>
  <c r="F563" i="2"/>
  <c r="G563" i="2"/>
  <c r="H563" i="2"/>
  <c r="I563" i="2"/>
  <c r="F565" i="2"/>
  <c r="G565" i="2"/>
  <c r="H565" i="2"/>
  <c r="I565" i="2"/>
  <c r="F569" i="2"/>
  <c r="G569" i="2"/>
  <c r="H569" i="2"/>
  <c r="I569" i="2"/>
  <c r="F574" i="2"/>
  <c r="G574" i="2"/>
  <c r="H574" i="2"/>
  <c r="I574" i="2"/>
  <c r="F583" i="2"/>
  <c r="G583" i="2"/>
  <c r="H583" i="2"/>
  <c r="I583" i="2"/>
  <c r="F586" i="2"/>
  <c r="G586" i="2"/>
  <c r="H586" i="2"/>
  <c r="I586" i="2"/>
  <c r="F589" i="2"/>
  <c r="G589" i="2"/>
  <c r="H589" i="2"/>
  <c r="I589" i="2"/>
  <c r="F592" i="2"/>
  <c r="G592" i="2"/>
  <c r="H592" i="2"/>
  <c r="I592" i="2"/>
  <c r="F594" i="2"/>
  <c r="G594" i="2"/>
  <c r="H594" i="2"/>
  <c r="I594" i="2"/>
  <c r="F598" i="2"/>
  <c r="G598" i="2"/>
  <c r="H598" i="2"/>
  <c r="I598" i="2"/>
  <c r="F601" i="2"/>
  <c r="G601" i="2"/>
  <c r="H601" i="2"/>
  <c r="I601" i="2"/>
  <c r="F607" i="2"/>
  <c r="G607" i="2"/>
  <c r="H607" i="2"/>
  <c r="I607" i="2"/>
  <c r="F612" i="2"/>
  <c r="G612" i="2"/>
  <c r="H612" i="2"/>
  <c r="I612" i="2"/>
  <c r="F617" i="2"/>
  <c r="G617" i="2"/>
  <c r="H617" i="2"/>
  <c r="I617" i="2"/>
  <c r="F620" i="2"/>
  <c r="G620" i="2"/>
  <c r="H620" i="2"/>
  <c r="I620" i="2"/>
  <c r="F624" i="2"/>
  <c r="G624" i="2"/>
  <c r="H624" i="2"/>
  <c r="I624" i="2"/>
  <c r="F629" i="2"/>
  <c r="G629" i="2"/>
  <c r="H629" i="2"/>
  <c r="I629" i="2"/>
  <c r="F631" i="2"/>
  <c r="G631" i="2"/>
  <c r="H631" i="2"/>
  <c r="I631" i="2"/>
  <c r="F634" i="2"/>
  <c r="G634" i="2"/>
  <c r="H634" i="2"/>
  <c r="I634" i="2"/>
  <c r="F636" i="2"/>
  <c r="G636" i="2"/>
  <c r="H636" i="2"/>
  <c r="I636" i="2"/>
  <c r="F639" i="2"/>
  <c r="G639" i="2"/>
  <c r="H639" i="2"/>
  <c r="I639" i="2"/>
  <c r="F642" i="2"/>
  <c r="G642" i="2"/>
  <c r="H642" i="2"/>
  <c r="I642" i="2"/>
  <c r="F651" i="2"/>
  <c r="G651" i="2"/>
  <c r="H651" i="2"/>
  <c r="I651" i="2"/>
  <c r="F662" i="2"/>
  <c r="G662" i="2"/>
  <c r="H662" i="2"/>
  <c r="I662" i="2"/>
  <c r="F666" i="2"/>
  <c r="G666" i="2"/>
  <c r="H666" i="2"/>
  <c r="I666" i="2"/>
  <c r="F670" i="2"/>
  <c r="G670" i="2"/>
  <c r="H670" i="2"/>
  <c r="I670" i="2"/>
  <c r="F672" i="2"/>
  <c r="G672" i="2"/>
  <c r="H672" i="2"/>
  <c r="I672" i="2"/>
  <c r="F675" i="2"/>
  <c r="G675" i="2"/>
  <c r="H675" i="2"/>
  <c r="I675" i="2"/>
  <c r="F696" i="2"/>
  <c r="G696" i="2"/>
  <c r="H696" i="2"/>
  <c r="I696" i="2"/>
  <c r="F699" i="2"/>
  <c r="G699" i="2"/>
  <c r="H699" i="2"/>
  <c r="I699" i="2"/>
  <c r="F705" i="2"/>
  <c r="G705" i="2"/>
  <c r="H705" i="2"/>
  <c r="I705" i="2"/>
  <c r="F710" i="2"/>
  <c r="G710" i="2"/>
  <c r="H710" i="2"/>
  <c r="I710" i="2"/>
  <c r="F713" i="2"/>
  <c r="G713" i="2"/>
  <c r="H713" i="2"/>
  <c r="I713" i="2"/>
  <c r="F715" i="2"/>
  <c r="G715" i="2"/>
  <c r="H715" i="2"/>
  <c r="I715" i="2"/>
  <c r="F719" i="2"/>
  <c r="G719" i="2"/>
  <c r="H719" i="2"/>
  <c r="I719" i="2"/>
  <c r="F724" i="2"/>
  <c r="F721" i="2" s="1"/>
  <c r="G724" i="2"/>
  <c r="G721" i="2" s="1"/>
  <c r="H724" i="2"/>
  <c r="H721" i="2" s="1"/>
  <c r="I724" i="2"/>
  <c r="I721" i="2" s="1"/>
  <c r="F730" i="2"/>
  <c r="G730" i="2"/>
  <c r="H730" i="2"/>
  <c r="I730" i="2"/>
  <c r="F734" i="2"/>
  <c r="G734" i="2"/>
  <c r="H734" i="2"/>
  <c r="I734" i="2"/>
  <c r="F736" i="2"/>
  <c r="G736" i="2"/>
  <c r="H736" i="2"/>
  <c r="I736" i="2"/>
  <c r="F738" i="2"/>
  <c r="G738" i="2"/>
  <c r="H738" i="2"/>
  <c r="I738" i="2"/>
  <c r="F741" i="2"/>
  <c r="G741" i="2"/>
  <c r="H741" i="2"/>
  <c r="I741" i="2"/>
  <c r="F744" i="2"/>
  <c r="G744" i="2"/>
  <c r="H744" i="2"/>
  <c r="I744" i="2"/>
  <c r="D764" i="2"/>
  <c r="E764" i="2"/>
  <c r="F764" i="2"/>
  <c r="C777" i="2"/>
  <c r="D777" i="2"/>
  <c r="E777" i="2"/>
  <c r="F777" i="2"/>
  <c r="I284" i="2" l="1"/>
  <c r="G32" i="2"/>
  <c r="H679" i="2"/>
  <c r="F605" i="2"/>
  <c r="F284" i="2"/>
  <c r="G241" i="2"/>
  <c r="G161" i="2"/>
  <c r="G679" i="2"/>
  <c r="F241" i="2"/>
  <c r="F237" i="2" s="1"/>
  <c r="F236" i="2" s="1"/>
  <c r="G703" i="2"/>
  <c r="I679" i="2"/>
  <c r="H703" i="2"/>
  <c r="F511" i="2"/>
  <c r="H364" i="2"/>
  <c r="I605" i="2"/>
  <c r="G605" i="2"/>
  <c r="H228" i="2"/>
  <c r="H712" i="2"/>
  <c r="F703" i="2"/>
  <c r="I152" i="2"/>
  <c r="D781" i="2"/>
  <c r="H152" i="2"/>
  <c r="F781" i="2"/>
  <c r="G284" i="2"/>
  <c r="H241" i="2"/>
  <c r="I182" i="2"/>
  <c r="I161" i="2"/>
  <c r="H63" i="2"/>
  <c r="H53" i="2" s="1"/>
  <c r="F63" i="2"/>
  <c r="F53" i="2" s="1"/>
  <c r="I32" i="2"/>
  <c r="I123" i="2"/>
  <c r="H123" i="2"/>
  <c r="G712" i="2"/>
  <c r="I712" i="2"/>
  <c r="G123" i="2"/>
  <c r="H337" i="2"/>
  <c r="E781" i="2"/>
  <c r="H728" i="2"/>
  <c r="H726" i="2" s="1"/>
  <c r="H623" i="2"/>
  <c r="F558" i="2"/>
  <c r="H539" i="2"/>
  <c r="I337" i="2"/>
  <c r="G337" i="2"/>
  <c r="I293" i="2"/>
  <c r="I278" i="2" s="1"/>
  <c r="I277" i="2" s="1"/>
  <c r="I228" i="2"/>
  <c r="F182" i="2"/>
  <c r="H182" i="2"/>
  <c r="F170" i="2"/>
  <c r="F152" i="2"/>
  <c r="G110" i="2"/>
  <c r="I63" i="2"/>
  <c r="I53" i="2" s="1"/>
  <c r="I364" i="2"/>
  <c r="F130" i="2"/>
  <c r="I703" i="2"/>
  <c r="G558" i="2"/>
  <c r="I539" i="2"/>
  <c r="I524" i="2"/>
  <c r="I511" i="2"/>
  <c r="I393" i="2"/>
  <c r="F337" i="2"/>
  <c r="F306" i="2"/>
  <c r="F304" i="2" s="1"/>
  <c r="F303" i="2" s="1"/>
  <c r="H293" i="2"/>
  <c r="I212" i="2"/>
  <c r="I211" i="2" s="1"/>
  <c r="G182" i="2"/>
  <c r="G152" i="2"/>
  <c r="H130" i="2"/>
  <c r="H110" i="2"/>
  <c r="F110" i="2"/>
  <c r="H95" i="2"/>
  <c r="H93" i="2" s="1"/>
  <c r="F95" i="2"/>
  <c r="F93" i="2" s="1"/>
  <c r="I15" i="2"/>
  <c r="G448" i="2"/>
  <c r="G447" i="2" s="1"/>
  <c r="C781" i="2"/>
  <c r="F728" i="2"/>
  <c r="F726" i="2" s="1"/>
  <c r="F712" i="2"/>
  <c r="F679" i="2"/>
  <c r="F650" i="2"/>
  <c r="H650" i="2"/>
  <c r="F623" i="2"/>
  <c r="F524" i="2"/>
  <c r="H524" i="2"/>
  <c r="H511" i="2"/>
  <c r="F393" i="2"/>
  <c r="H393" i="2"/>
  <c r="F364" i="2"/>
  <c r="G306" i="2"/>
  <c r="G293" i="2"/>
  <c r="F248" i="2"/>
  <c r="H248" i="2"/>
  <c r="G228" i="2"/>
  <c r="F212" i="2"/>
  <c r="H212" i="2"/>
  <c r="H211" i="2" s="1"/>
  <c r="H170" i="2"/>
  <c r="F161" i="2"/>
  <c r="G130" i="2"/>
  <c r="I130" i="2"/>
  <c r="I110" i="2"/>
  <c r="G95" i="2"/>
  <c r="G93" i="2" s="1"/>
  <c r="I95" i="2"/>
  <c r="I93" i="2" s="1"/>
  <c r="H15" i="2"/>
  <c r="H14" i="2" s="1"/>
  <c r="H13" i="2" s="1"/>
  <c r="I623" i="2"/>
  <c r="I728" i="2"/>
  <c r="I726" i="2" s="1"/>
  <c r="G728" i="2"/>
  <c r="G726" i="2" s="1"/>
  <c r="I650" i="2"/>
  <c r="G650" i="2"/>
  <c r="G623" i="2"/>
  <c r="I558" i="2"/>
  <c r="G539" i="2"/>
  <c r="G524" i="2"/>
  <c r="G511" i="2"/>
  <c r="I448" i="2"/>
  <c r="I447" i="2" s="1"/>
  <c r="G393" i="2"/>
  <c r="G364" i="2"/>
  <c r="H306" i="2"/>
  <c r="F293" i="2"/>
  <c r="H284" i="2"/>
  <c r="I248" i="2"/>
  <c r="G248" i="2"/>
  <c r="I241" i="2"/>
  <c r="F228" i="2"/>
  <c r="G212" i="2"/>
  <c r="G211" i="2" s="1"/>
  <c r="G170" i="2"/>
  <c r="I170" i="2"/>
  <c r="F123" i="2"/>
  <c r="G15" i="2"/>
  <c r="H605" i="2"/>
  <c r="H558" i="2"/>
  <c r="F539" i="2"/>
  <c r="F448" i="2"/>
  <c r="F447" i="2" s="1"/>
  <c r="H448" i="2"/>
  <c r="H447" i="2" s="1"/>
  <c r="I306" i="2"/>
  <c r="G63" i="2"/>
  <c r="G53" i="2" s="1"/>
  <c r="F15" i="2"/>
  <c r="F14" i="2" s="1"/>
  <c r="F13" i="2" s="1"/>
  <c r="G237" i="2" l="1"/>
  <c r="G236" i="2" s="1"/>
  <c r="I647" i="2"/>
  <c r="H555" i="2"/>
  <c r="H554" i="2" s="1"/>
  <c r="F555" i="2"/>
  <c r="F554" i="2" s="1"/>
  <c r="G14" i="2"/>
  <c r="G13" i="2" s="1"/>
  <c r="F52" i="2"/>
  <c r="G160" i="2"/>
  <c r="I555" i="2"/>
  <c r="I554" i="2" s="1"/>
  <c r="F278" i="2"/>
  <c r="F277" i="2" s="1"/>
  <c r="H52" i="2"/>
  <c r="I14" i="2"/>
  <c r="I13" i="2" s="1"/>
  <c r="G278" i="2"/>
  <c r="G277" i="2" s="1"/>
  <c r="G362" i="2"/>
  <c r="G361" i="2" s="1"/>
  <c r="G647" i="2"/>
  <c r="G646" i="2" s="1"/>
  <c r="H109" i="2"/>
  <c r="H108" i="2" s="1"/>
  <c r="I304" i="2"/>
  <c r="I303" i="2" s="1"/>
  <c r="H237" i="2"/>
  <c r="H236" i="2" s="1"/>
  <c r="G52" i="2"/>
  <c r="G510" i="2"/>
  <c r="G509" i="2" s="1"/>
  <c r="I109" i="2"/>
  <c r="I108" i="2" s="1"/>
  <c r="H362" i="2"/>
  <c r="H361" i="2" s="1"/>
  <c r="F647" i="2"/>
  <c r="F646" i="2" s="1"/>
  <c r="I52" i="2"/>
  <c r="I237" i="2"/>
  <c r="I236" i="2" s="1"/>
  <c r="G555" i="2"/>
  <c r="G554" i="2" s="1"/>
  <c r="F362" i="2"/>
  <c r="F361" i="2" s="1"/>
  <c r="H304" i="2"/>
  <c r="H303" i="2" s="1"/>
  <c r="H647" i="2"/>
  <c r="H646" i="2" s="1"/>
  <c r="H160" i="2"/>
  <c r="H159" i="2" s="1"/>
  <c r="H510" i="2"/>
  <c r="H509" i="2" s="1"/>
  <c r="I646" i="2"/>
  <c r="I160" i="2"/>
  <c r="I159" i="2" s="1"/>
  <c r="G304" i="2"/>
  <c r="G303" i="2" s="1"/>
  <c r="F510" i="2"/>
  <c r="F509" i="2" s="1"/>
  <c r="F109" i="2"/>
  <c r="F108" i="2" s="1"/>
  <c r="H278" i="2"/>
  <c r="H277" i="2" s="1"/>
  <c r="I510" i="2"/>
  <c r="I509" i="2" s="1"/>
  <c r="G109" i="2"/>
  <c r="G108" i="2" s="1"/>
  <c r="F160" i="2"/>
  <c r="I362" i="2"/>
  <c r="I361" i="2" s="1"/>
  <c r="F211" i="2"/>
  <c r="G159" i="2"/>
  <c r="F159" i="2" l="1"/>
</calcChain>
</file>

<file path=xl/sharedStrings.xml><?xml version="1.0" encoding="utf-8"?>
<sst xmlns="http://schemas.openxmlformats.org/spreadsheetml/2006/main" count="2333" uniqueCount="1197">
  <si>
    <t>ŠIAULIŲ MIESTO SAVIVALDYBĖS 2023–2025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</si>
  <si>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</si>
  <si>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</si>
  <si>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</si>
  <si>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</si>
  <si>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</si>
  <si>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2023 metų patvirtinti asignavimai Nr. T-1 (2023-02-02)</t>
  </si>
  <si>
    <t>2023 metų patikslinti asignavimai</t>
  </si>
  <si>
    <t>2024 metų lėšų projektas</t>
  </si>
  <si>
    <t>2025 metų lėšų projektas</t>
  </si>
  <si>
    <t>Efekto /Rezultato /Produkto /Indėlio</t>
  </si>
  <si>
    <t>Rodiklis</t>
  </si>
  <si>
    <t>Mato vnt.</t>
  </si>
  <si>
    <t>Planas</t>
  </si>
  <si>
    <t>2023</t>
  </si>
  <si>
    <t>2024</t>
  </si>
  <si>
    <t>2025</t>
  </si>
  <si>
    <t>01.</t>
  </si>
  <si>
    <t>Miesto urbanistinės plėtros programa</t>
  </si>
  <si>
    <t>Architektūros, urbanistikos ir paveldosaugos skyrius</t>
  </si>
  <si>
    <t>proc.</t>
  </si>
  <si>
    <t>01.01.</t>
  </si>
  <si>
    <t>Užtikrinti kompleksišką ir darnų miesto planavimą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</si>
  <si>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</si>
  <si>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</si>
  <si>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</si>
  <si>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</si>
  <si>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01.01.01.01</t>
  </si>
  <si>
    <t>Koreguoti Šiaulių miesto savivaldybės teritorijos bendrąjį planą</t>
  </si>
  <si>
    <t>Atliktas Bendrojo plano pakeitimas</t>
  </si>
  <si>
    <t>1.01.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</si>
  <si>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</si>
  <si>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01.01.01.02</t>
  </si>
  <si>
    <t>Organizuoti detaliųjų ir specialiųjų planų parengimą</t>
  </si>
  <si>
    <t>Parengtų detaliųjų ir specialiųjų planų</t>
  </si>
  <si>
    <t>1.10.</t>
  </si>
  <si>
    <t>Parengtas Teritorijos tarp Gegužių, Architektų, Gardino ir Aido gatvių Šiauliuose detalusis planas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</si>
  <si>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</si>
  <si>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</si>
  <si>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Zoknių gyvenamojo rajono Šiauliuose detaliojo plano koregavimas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</si>
  <si>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</si>
  <si>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</si>
  <si>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</si>
  <si>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</si>
  <si>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</si>
  <si>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</si>
  <si>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</si>
  <si>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</si>
  <si>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</si>
  <si>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</si>
  <si>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</si>
  <si>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</si>
  <si>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</si>
  <si>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</si>
  <si>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</si>
  <si>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Įgyvendintas paminklo "Tautos laisvė" projektas</t>
  </si>
  <si>
    <t>Parengtas paminklo "Tautos laisvė" techninis projektas</t>
  </si>
  <si>
    <t>Parengti tipinio dizaino kioskų ir paviljonų projektavimo reikalavimai</t>
  </si>
  <si>
    <t>Atlikti Prof. Aloyzo Toleikio skulptūros „Dubysa“ restauravimo, remonto ir perkėlimo darbai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</si>
  <si>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</si>
  <si>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Parengtų, įgyvendintų projektinių pasiūlymų, idėjos konkursų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</si>
  <si>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</si>
  <si>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</si>
  <si>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</si>
  <si>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</si>
  <si>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</si>
  <si>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skyrius; Statybos ir renovacijos skyrius; Miesto ūkio ir aplinkos skyrius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</si>
  <si>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</si>
  <si>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</si>
  <si>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</si>
  <si>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</si>
  <si>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</si>
  <si>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</si>
  <si>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</si>
  <si>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</si>
  <si>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</si>
  <si>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</si>
  <si>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Atlikti kapavietės Aviacijos g., Šiauliuose sutvarkymo darbai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</si>
  <si>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</si>
  <si>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</si>
  <si>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</si>
  <si>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</si>
  <si>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</si>
  <si>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</si>
  <si>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</si>
  <si>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</si>
  <si>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</si>
  <si>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</si>
  <si>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</si>
  <si>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</si>
  <si>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</si>
  <si>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</si>
  <si>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</si>
  <si>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</si>
  <si>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</si>
  <si>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</si>
  <si>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</si>
  <si>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</si>
  <si>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</si>
  <si>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</si>
  <si>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</si>
  <si>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</si>
  <si>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</si>
  <si>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</si>
  <si>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</si>
  <si>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</si>
  <si>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</si>
  <si>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</si>
  <si>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</si>
  <si>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</si>
  <si>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</si>
  <si>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</si>
  <si>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</si>
  <si>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</si>
  <si>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</si>
  <si>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</si>
  <si>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</si>
  <si>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</si>
  <si>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Surengtų renginių</t>
  </si>
  <si>
    <t>2.02.</t>
  </si>
  <si>
    <t>Įgyvendintų projektų</t>
  </si>
  <si>
    <t>1.05.</t>
  </si>
  <si>
    <t>Šiaulių turizmo informacijos centro ir „Baltų kelio“ centro lankytojų</t>
  </si>
  <si>
    <t>2.03.</t>
  </si>
  <si>
    <t>Surengtų edukacijų</t>
  </si>
  <si>
    <t>2.01.</t>
  </si>
  <si>
    <t>Surengtų ekskursijų</t>
  </si>
  <si>
    <t>Lankytojų (renginių, parodų, projektų ir kt. lankytojų, žiūrovų, klausytojų, skaitytojų, paslaugų vartotojų ir pan.)</t>
  </si>
  <si>
    <t>1.09.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</si>
  <si>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</si>
  <si>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</si>
  <si>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</si>
  <si>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02.01.04.08</t>
  </si>
  <si>
    <t>Aktualizuoti Šiaulių kultūros centrą (Aušros al. 31)</t>
  </si>
  <si>
    <t>Projektų valdymo skyrius</t>
  </si>
  <si>
    <t>Patvirtintas galutinis mokėjimo prašymas</t>
  </si>
  <si>
    <t>1.08.</t>
  </si>
  <si>
    <t>02.01.04.09</t>
  </si>
  <si>
    <t>Atnaujinti (modernizuoti) Šiaulių miesto koncertinę įstaigą „Saulė" (Tilžės g. 140), rekonstruoti pastatą ir pastatyti priestatą</t>
  </si>
  <si>
    <t>Šiaulių miesto koncertinė įstaiga „Saulė“; Kultūros skyrius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</si>
  <si>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</si>
  <si>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</si>
  <si>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</si>
  <si>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skyrius; Projektų valdymo skyrius</t>
  </si>
  <si>
    <t>1.02.</t>
  </si>
  <si>
    <t>02.01.04.11</t>
  </si>
  <si>
    <t>Atnaujinti (modernizuoti) Šiaulių dailės galerijos pastatą (Vilniaus g. 245)</t>
  </si>
  <si>
    <t>Statybos ir renovacijos skyrius; Kultūros skyrius; Šiaulių dailės galerija</t>
  </si>
  <si>
    <t>Pažangos_04</t>
  </si>
  <si>
    <t>02.01.04.12</t>
  </si>
  <si>
    <t>Didinti Šiaulių kultūros centro Rėkyvos kultūros namų funkcionalumą</t>
  </si>
  <si>
    <t>Statybos ir renovacijos skyrius; Kultūros skyrius; Projektų valdymo skyrius</t>
  </si>
  <si>
    <t>02.01.04.15</t>
  </si>
  <si>
    <t>Atnaujinti Šiaulių miesto savivaldybės viešosios bibliotekos patalpas</t>
  </si>
  <si>
    <t>Kultūros skyrius; Šiaulių miesto savivaldybės viešoji biblioteka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</si>
  <si>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</si>
  <si>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</si>
  <si>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</si>
  <si>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</si>
  <si>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02.02.02.</t>
  </si>
  <si>
    <t>Vystyti Šiaulių miesto turizmo sektorių</t>
  </si>
  <si>
    <t>02.02.02.01</t>
  </si>
  <si>
    <t>Įgyvendinti projektą „Savivaldybes jungiančios turizmo informacinės infrastruktūros plėtra Šiaulių regione“</t>
  </si>
  <si>
    <t>Architektūros, urbanistikos ir paveldosaugos skyrius; Kultūros skyrius; Šiaulių turizmo informacijos centras; Projektų valdymo skyrius</t>
  </si>
  <si>
    <t>Baigta tvarkyti projekto dokumentacija ir finansiniai srautai</t>
  </si>
  <si>
    <t>02.02.02.02</t>
  </si>
  <si>
    <t>Įgyvendinti projektą „Baltų kultūros pažinimo skatinimas ir žinomumo apie tarptautinį kultūros kelią „Baltų kelias“ didinimas“</t>
  </si>
  <si>
    <t>Šiaulių turizmo informacijos centras; Kultūros skyrius</t>
  </si>
  <si>
    <t>Įgyvendinta projekto veiklų</t>
  </si>
  <si>
    <t>02.02.02.03</t>
  </si>
  <si>
    <t>Įgyvendinti projektą „Saulės kelias“</t>
  </si>
  <si>
    <t>02.02.02.04</t>
  </si>
  <si>
    <t>Įgyvendinti miesto įvaizdžio rinkodaros strategijos gairių priemonių planą</t>
  </si>
  <si>
    <t>Šiaulių turizmo informacijos centras; Kultūros skyrius; Šiaulių dailės galerija; Šiaulių kultūros centras</t>
  </si>
  <si>
    <t>Įgyvendinta strategijos veiklų</t>
  </si>
  <si>
    <t>02.02.04.</t>
  </si>
  <si>
    <t>Vykdyti nekilnojamojo kultūros paveldo pažinimo sklaidą ir atgaivinimą</t>
  </si>
  <si>
    <t>02.02.04.02</t>
  </si>
  <si>
    <t>Organizuoti Europos paveldo dienų renginius</t>
  </si>
  <si>
    <t>Suorganizuotų Europos paveldo dienų renginių ciklų</t>
  </si>
  <si>
    <t>02.02.04.03</t>
  </si>
  <si>
    <t>Didinti religinio turizmo prieinamumą</t>
  </si>
  <si>
    <t>Įvykdytų religinio turizmo skatinimo veiklų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</si>
  <si>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</si>
  <si>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</si>
  <si>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</si>
  <si>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</si>
  <si>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</si>
  <si>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</si>
  <si>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</si>
  <si>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</si>
  <si>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</si>
  <si>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</si>
  <si>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</si>
  <si>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</si>
  <si>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</si>
  <si>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</si>
  <si>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</si>
  <si>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</si>
  <si>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Kompensuota už asbesto gaminių šalinimą</t>
  </si>
  <si>
    <t>1.11.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</si>
  <si>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</si>
  <si>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</si>
  <si>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</si>
  <si>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Projektų valdymo skyrius</t>
  </si>
  <si>
    <t>Įrengta konteinerių aikštelių</t>
  </si>
  <si>
    <t>Įrengta didelio gabarito atliekų surinkimo aikštelė (DGSA) su pakartotiniam panaudojimui tinkamų atliekų surinkimu</t>
  </si>
  <si>
    <t>03.01.01.04</t>
  </si>
  <si>
    <t>Įgyvendinti projektą  „Rūšiuojamuoju būdu surinktų maisto/virtuvės atliekų apdorojimo infrastruktūros sukūrimas Šiaulių regione"</t>
  </si>
  <si>
    <t>Parengta techninė dokumentacija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</si>
  <si>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</si>
  <si>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</si>
  <si>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</si>
  <si>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</si>
  <si>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</si>
  <si>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</si>
  <si>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</si>
  <si>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</si>
  <si>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</si>
  <si>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</si>
  <si>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</si>
  <si>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(genėjimas, 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</si>
  <si>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</si>
  <si>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</si>
  <si>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</si>
  <si>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1.12.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</si>
  <si>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</si>
  <si>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</si>
  <si>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</si>
  <si>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</si>
  <si>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</si>
  <si>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</si>
  <si>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</si>
  <si>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</si>
  <si>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</si>
  <si>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</si>
  <si>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</si>
  <si>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</si>
  <si>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</si>
  <si>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</si>
  <si>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</si>
  <si>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Nupirkta mažos taršos zonos įvertinimo galimybių studija</t>
  </si>
  <si>
    <t>Žvyruotų gatvių apdorojimas dulkėtumą mažinančiomis medžiagomis</t>
  </si>
  <si>
    <t>m</t>
  </si>
  <si>
    <t>03.01.03.10</t>
  </si>
  <si>
    <t>Tvarkyti užterštas teritorijas Šiaulių mieste</t>
  </si>
  <si>
    <t>Sutvarkyta užterštų teritorijų (4463, 4464,11555, 11556, 11557)</t>
  </si>
  <si>
    <t>ha</t>
  </si>
  <si>
    <t>03.01.03.11</t>
  </si>
  <si>
    <t>Likviduoti pavojingus radinius ir ekologinių avarijų padarinius</t>
  </si>
  <si>
    <t>Civilinės saugos ir teisėtvarkos skyrius; Miesto ūkio ir aplinkos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</si>
  <si>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</si>
  <si>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</si>
  <si>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</si>
  <si>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</si>
  <si>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sk.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</si>
  <si>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</si>
  <si>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</si>
  <si>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</si>
  <si>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</si>
  <si>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</si>
  <si>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</si>
  <si>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</si>
  <si>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</si>
  <si>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</si>
  <si>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</si>
  <si>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03.01.09.</t>
  </si>
  <si>
    <t>Skatinti atsinaujinančių išteklių Šiaulių mieste naudojimą</t>
  </si>
  <si>
    <t>03.01.09.01</t>
  </si>
  <si>
    <t>Parengti atsinaujinančių išteklių energijos naudojimą Šiaulių mieste planą</t>
  </si>
  <si>
    <t>Parengtas atsinaujinančių išteklių energijos naudojimo planas</t>
  </si>
  <si>
    <t>03.01.09.02</t>
  </si>
  <si>
    <t>Įsigyti iš saulės parkų nutolusios saulės elektrinės dalį</t>
  </si>
  <si>
    <t>Bendrųjų reikalų skyrius; Projektų valdymo skyrius</t>
  </si>
  <si>
    <t>Įsigyta nutolusios saulės elektrinės iš saulės parkų galia</t>
  </si>
  <si>
    <t>kw</t>
  </si>
  <si>
    <t>Užtikrintas saulės elektrinės aptarnavimas, priežiūra ir remontas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</si>
  <si>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</si>
  <si>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</si>
  <si>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</si>
  <si>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</si>
  <si>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</si>
  <si>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</si>
  <si>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</si>
  <si>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</si>
  <si>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</si>
  <si>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</si>
  <si>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</si>
  <si>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Miesto komunalinio ūkio priežiūra: žvyruotų gatvių greideriavimas; kelių dangos ženklinimas; eismo reguliavimo, saugių eismo priemonių diegimas, kryptinio apšvietimo įrengimas</t>
  </si>
  <si>
    <t>1.06.</t>
  </si>
  <si>
    <t>Metalinių garažų teritorijos sutvarkymas</t>
  </si>
  <si>
    <t>Įrengta mokėjimo parkomatų</t>
  </si>
  <si>
    <t>04.01.01.05</t>
  </si>
  <si>
    <t>Remontuoti daugiabučių namų kiemų dangą</t>
  </si>
  <si>
    <t>Sutvarkyta, suremontuota planuotų einamaisiais metais kiemų įvažiavimų danga</t>
  </si>
  <si>
    <t>Daugiabučių namų kvartalo Rasos - Aukštabalio g. sutvarkymas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</si>
  <si>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</si>
  <si>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</si>
  <si>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</si>
  <si>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</si>
  <si>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Įdiegta kapinių skaitmeninė sistema</t>
  </si>
  <si>
    <t>Sutvarkyta takų, privažiavimų</t>
  </si>
  <si>
    <t>km</t>
  </si>
  <si>
    <t>Užtikrinta visų miesto kapinių priežiūra (administravimas, vandens vežimas, atliekų išvežimas ir kt.)</t>
  </si>
  <si>
    <t>04.01.02.03</t>
  </si>
  <si>
    <t>Vykdyti kolumbariumo statybą ir priežiūrą</t>
  </si>
  <si>
    <t>Statybos ir renovacijos skyrius; Miesto ūkio ir aplinkos skyrius</t>
  </si>
  <si>
    <t>Įgyvendinta kolumbariumo statyba</t>
  </si>
  <si>
    <t>Užtikrinta Kolumbariumo priežiūra (kolumbariumo ir takų valymas)</t>
  </si>
  <si>
    <t>04.01.02.04</t>
  </si>
  <si>
    <t>Vykdyti Daušiškių kapinių statybos ir infrastruktūros įrengimo darbus</t>
  </si>
  <si>
    <t>Statybos ir renovacijos skyrius</t>
  </si>
  <si>
    <t>Įgyvendinti Daušiškių kapinių II etapo įrengimo darbai (paviršinių nuotekų tinklai, kapinių nusausinimas, vandentiekio tinklai, buitinių nuotekų tinklai)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</si>
  <si>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</si>
  <si>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</si>
  <si>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Projektų valdymo skyrius</t>
  </si>
  <si>
    <t>Sukurta kapavietės paieškos sistema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</si>
  <si>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</si>
  <si>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</si>
  <si>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</si>
  <si>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</si>
  <si>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</si>
  <si>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Architektūros, urbanistikos ir paveldosaugos skyrius; Projektų valdymo skyrius</t>
  </si>
  <si>
    <t>04.01.04.06</t>
  </si>
  <si>
    <t>Įgyvendinti projektą „Talkšos ežero pakrantės plėtra“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</si>
  <si>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</si>
  <si>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</si>
  <si>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Projektų valdymo skyrius; Architektūros, urbanistikos ir paveldosaugos skyrius; Miesto ūkio ir aplinkos skyrius</t>
  </si>
  <si>
    <t>04.01.04.08</t>
  </si>
  <si>
    <t>Įgyvendinti projektą „P. Višinskio gatvės viešųjų erdvių pritaikymas jaunimo poreikiams“</t>
  </si>
  <si>
    <t>04.01.04.09</t>
  </si>
  <si>
    <t>Įgyvendinti projektą „Šiaulių miesto centrinio ir Didždvario parkų bei jų prieigų sutvarkymas“</t>
  </si>
  <si>
    <t>Miesto ūkio ir aplinkos skyrius; Architektūros, urbanistikos ir paveldosaugos skyrius; Projektų valdymo skyrius</t>
  </si>
  <si>
    <t>Atlikta rangos darbų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</si>
  <si>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</si>
  <si>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</si>
  <si>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</si>
  <si>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</si>
  <si>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</si>
  <si>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</si>
  <si>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Prijungtų UAB ,,Šiaulių gatvių apšvietimas" dispozicijoje esančių vaizdo stebėjimo kamerų prie savivaldybės administracijos valdomos vaizdo stebėjimo sistemos</t>
  </si>
  <si>
    <t>Viešųjų vietų vaizdo stebėjimo kamerų, kurioms užtikrinamas funkcionalumo tęstinumas</t>
  </si>
  <si>
    <t>Įrengtų greičio matuoklių</t>
  </si>
  <si>
    <t>Pajungtų vaizdo stebėjimo kamerų</t>
  </si>
  <si>
    <t>04.02.</t>
  </si>
  <si>
    <t>Užtikrinti subalansuotą miesto susisiekimo sistemos vystymą</t>
  </si>
  <si>
    <t>Vykdyti miesto susisiekimo sistemos plėtrą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</si>
  <si>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</si>
  <si>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</si>
  <si>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</si>
  <si>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</si>
  <si>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Statybos ir renovacijos skyrius; Architektūros, urbanistikos ir paveldosaugos skyrius</t>
  </si>
  <si>
    <t>Atlikta miesto gatvių, šaligatvių ir takų remonto darbų pagal skirtą finansavimą (Aerouosto g., Pramonės - Serbentų sankryža) ir kt.)</t>
  </si>
  <si>
    <t>Atliktas išlyginamojo asfalto sluoksnio dengimas</t>
  </si>
  <si>
    <t>Sukurtos arba atnaujintos atviros erdvės mieste (Dainų takas, Dainų parkas)</t>
  </si>
  <si>
    <t>04.02.01.06</t>
  </si>
  <si>
    <t>Įrengti viešojo susisiekimo infrastruktūrą, siekiant pagerinti sąlygas verslo plėtrai</t>
  </si>
  <si>
    <t>Projektų valdymo skyrius; Miesto ūkio ir aplinkos skyrius</t>
  </si>
  <si>
    <t>04.02.01.14</t>
  </si>
  <si>
    <t>Įgyvendinti projektą „Darnaus judumo priemonių diegimas Šiaulių mieste“</t>
  </si>
  <si>
    <t>Įgyvendintos darnaus judumo priemonės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</si>
  <si>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</si>
  <si>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</si>
  <si>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</si>
  <si>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</si>
  <si>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</si>
  <si>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</si>
  <si>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</si>
  <si>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</si>
  <si>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</si>
  <si>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Išasfaltuoti ir įrengti žvyruotas gatves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</si>
  <si>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</si>
  <si>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</si>
  <si>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</si>
  <si>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</si>
  <si>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</si>
  <si>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ir investicijų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</si>
  <si>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</si>
  <si>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</si>
  <si>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</si>
  <si>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</si>
  <si>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</si>
  <si>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</si>
  <si>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</si>
  <si>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</si>
  <si>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</si>
  <si>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</si>
  <si>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</si>
  <si>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</si>
  <si>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</si>
  <si>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</si>
  <si>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</si>
  <si>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</si>
  <si>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</si>
  <si>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</si>
  <si>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</si>
  <si>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</si>
  <si>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</si>
  <si>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05.01.05.</t>
  </si>
  <si>
    <t>Skatinti investicijų pritraukimą</t>
  </si>
  <si>
    <t>05.01.05.01</t>
  </si>
  <si>
    <t>Parengti (atnaujinti) investicijų projektus</t>
  </si>
  <si>
    <t>Projektų valdymo skyrius; Statybos ir renovacijos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</si>
  <si>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</si>
  <si>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</si>
  <si>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</si>
  <si>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Ekonomikos ir investicijų skyrius; Miesto ūkio ir aplinkos skyrius; Projektų valdymo skyrius</t>
  </si>
  <si>
    <t>Įrengta geležinkelio kelių</t>
  </si>
  <si>
    <t>Įrengta krovos aikštelių infrastruktūra</t>
  </si>
  <si>
    <t>Sklypų skaičius iš kurių pašalinti medžiai</t>
  </si>
  <si>
    <t>Išvalytų sklypų skaičius</t>
  </si>
  <si>
    <t>Įsigyta krovos aikštelių veiklai reikalinga įranga ir baldai</t>
  </si>
  <si>
    <t>05.01.05.03</t>
  </si>
  <si>
    <t>Vystyti Šiaulių Oro uosto veiklą</t>
  </si>
  <si>
    <t>Ekonomikos ir investicijų skyrius; SĮ Šiaulių oro uostas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</si>
  <si>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</si>
  <si>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</si>
  <si>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</si>
  <si>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</si>
  <si>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Ekonomikos ir investicijų skyrius; Miesto ūkio ir aplinkos skyrius</t>
  </si>
  <si>
    <t>Atlikti angaro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</si>
  <si>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</si>
  <si>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</si>
  <si>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</si>
  <si>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</si>
  <si>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</si>
  <si>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</si>
  <si>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</si>
  <si>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Sukurtų elektroninių leidinių</t>
  </si>
  <si>
    <t>Publikuotų straipsnių Lietuvos ir užsienio spaudoje</t>
  </si>
  <si>
    <t>Sukurtų edukacinių rinkodaros priemonių</t>
  </si>
  <si>
    <t>Atliktas Šiaulių miesto verslo aplinkos vertinimas</t>
  </si>
  <si>
    <t>Įgyvendinta reklaminė kampanija "Šiauliai - karjeros miestas"</t>
  </si>
  <si>
    <t>Atlikta Šiaulių miesto gyventojų, verslininkų, asocijuotų verslo struktūrų, turistų ir kt. apklausa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</si>
  <si>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</si>
  <si>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</si>
  <si>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</si>
  <si>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</si>
  <si>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</si>
  <si>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</si>
  <si>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</si>
  <si>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</si>
  <si>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</si>
  <si>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</si>
  <si>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</si>
  <si>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</si>
  <si>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</si>
  <si>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</si>
  <si>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</si>
  <si>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</si>
  <si>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</si>
  <si>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</si>
  <si>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</si>
  <si>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</si>
  <si>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</si>
  <si>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</si>
  <si>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</si>
  <si>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</si>
  <si>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</si>
  <si>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</si>
  <si>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</si>
  <si>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</si>
  <si>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Projektų valdymo skyrius; Turto valdymo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</si>
  <si>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</si>
  <si>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</si>
  <si>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</si>
  <si>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</si>
  <si>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</si>
  <si>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</si>
  <si>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</si>
  <si>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</si>
  <si>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06.01.02.15</t>
  </si>
  <si>
    <t>Organizuoti finansinių įsipareigojimų Aukštabalio multifunkcinio komplekso operatoriui vykdymą</t>
  </si>
  <si>
    <t>Pasirašyta koncesijos sutartis</t>
  </si>
  <si>
    <t>Įvykdytų sutartinių metinių įsipareigojimų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</si>
  <si>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</si>
  <si>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</si>
  <si>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</si>
  <si>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</si>
  <si>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</si>
  <si>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</si>
  <si>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</si>
  <si>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</si>
  <si>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</si>
  <si>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</si>
  <si>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</si>
  <si>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</si>
  <si>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</si>
  <si>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Turto valdymo skyrius; Projektų valdymo skyrius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</si>
  <si>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</si>
  <si>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</si>
  <si>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</si>
  <si>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</si>
  <si>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</si>
  <si>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</si>
  <si>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</si>
  <si>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</si>
  <si>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</si>
  <si>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</si>
  <si>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</si>
  <si>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</si>
  <si>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</si>
  <si>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</si>
  <si>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</si>
  <si>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</si>
  <si>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</si>
  <si>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</si>
  <si>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</si>
  <si>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</si>
  <si>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</si>
  <si>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</si>
  <si>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</si>
  <si>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</si>
  <si>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</si>
  <si>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</si>
  <si>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</si>
  <si>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</si>
  <si>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</si>
  <si>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</si>
  <si>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</si>
  <si>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</si>
  <si>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</si>
  <si>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</si>
  <si>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</si>
  <si>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</si>
  <si>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</si>
  <si>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</si>
  <si>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</si>
  <si>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</si>
  <si>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</si>
  <si>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</si>
  <si>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</si>
  <si>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</si>
  <si>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</si>
  <si>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</si>
  <si>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</si>
  <si>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</si>
  <si>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</si>
  <si>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</si>
  <si>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</si>
  <si>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</si>
  <si>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</si>
  <si>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</si>
  <si>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</si>
  <si>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</si>
  <si>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</si>
  <si>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</si>
  <si>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</si>
  <si>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Projektų valdymo skyrius; Architektūros, urbanistikos ir paveldosaugos skyrius; Statybos ir renovacijos skyrius</t>
  </si>
  <si>
    <t>Pažangos_02, Pažangos_03, Pažangos_04</t>
  </si>
  <si>
    <t>Atlikta darbų</t>
  </si>
  <si>
    <t>1.07.</t>
  </si>
  <si>
    <t>Baldų ir kito inventoriaus įsigijimas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</si>
  <si>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</si>
  <si>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</si>
  <si>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</si>
  <si>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</si>
  <si>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</si>
  <si>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</si>
  <si>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</si>
  <si>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</si>
  <si>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</si>
  <si>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</si>
  <si>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laiptų remonto prie Lengvosios atletikos ir sveikatingumo centro darbų</t>
  </si>
  <si>
    <t>Atlikta laistymo sistemos įrengimo darbų</t>
  </si>
  <si>
    <t>Pakeista stadiono veja</t>
  </si>
  <si>
    <t>Pakeista E, F ir G tribūnų danga</t>
  </si>
  <si>
    <t>07.01.06.08</t>
  </si>
  <si>
    <t>Futbolo aikščių rekonstrukcija (Kviečių g. 7A ir Kviečių g. 9)</t>
  </si>
  <si>
    <t>Atlikta apšvietimo sistemos modernizavimo darbų</t>
  </si>
  <si>
    <t>07.01.06.09</t>
  </si>
  <si>
    <t>Didinti Šiaulių teniso akademijos pastato funkcionalumą</t>
  </si>
  <si>
    <t>07.01.06.10</t>
  </si>
  <si>
    <t>Atlikti Šiaulių regbio ir žolės riedulio akademijos aikštyno rekonstrukciją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</si>
  <si>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</si>
  <si>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</si>
  <si>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</si>
  <si>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</si>
  <si>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</si>
  <si>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</si>
  <si>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</si>
  <si>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</si>
  <si>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</si>
  <si>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</si>
  <si>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</si>
  <si>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</si>
  <si>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</si>
  <si>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</si>
  <si>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</si>
  <si>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</si>
  <si>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</si>
  <si>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</si>
  <si>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</si>
  <si>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</si>
  <si>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</si>
  <si>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</si>
  <si>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</si>
  <si>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</si>
  <si>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</si>
  <si>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pagalbos programų dalyvių</t>
  </si>
  <si>
    <t>Pirmoko krepšelį gavusių mokinių</t>
  </si>
  <si>
    <t>Neformaliojo švietimo mokyklų, kuriose atliktas išorės vertinimas</t>
  </si>
  <si>
    <t>08.01.01.02</t>
  </si>
  <si>
    <t>Užtikrinti skaitmeninę plėtrą bendrojo ugdymo mokyklose</t>
  </si>
  <si>
    <t>Sukurtos skaitmeninės mokymosi aplinkos, naudojamos skaitmeninės mokymo priemonės mokyklose</t>
  </si>
  <si>
    <t>Įsteigtos hibridinės klasės</t>
  </si>
  <si>
    <t>08.01.01.03</t>
  </si>
  <si>
    <t>Užtikrinti švietimo elektroninės apskaitos ir registracijos sistemų funkcionavimą</t>
  </si>
  <si>
    <t>Įstaigų objektų, kuriuose įdiegta ir atnaujinta veikianti apskaitos sistema</t>
  </si>
  <si>
    <t>Nevalstybinių švietimo įstaigų ir laisvųjų mokytojų įgyvendinamų neformaliojo vaikų švietimo programų</t>
  </si>
  <si>
    <t>Sukurta ir veikianti priėmimo į bendrojo ugdymo mokyklas sistema</t>
  </si>
  <si>
    <t>Sukurta ir veikianti priėmimo į ikimokyklinio ugdymo įstaigas sistema</t>
  </si>
  <si>
    <t>Sukurta ir veikianti priėmimo į neformaliojo švietimo mokyklas sistema</t>
  </si>
  <si>
    <t>Sukurta ir veikianti SKU modelio apskaitos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</si>
  <si>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</si>
  <si>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</si>
  <si>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</si>
  <si>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</si>
  <si>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</si>
  <si>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</si>
  <si>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</si>
  <si>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</si>
  <si>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</si>
  <si>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</si>
  <si>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Įgyvendinta ankstyvojo profesinio informavimo programa "OPA" pradinių klasių mokiniams</t>
  </si>
  <si>
    <t>Įgyvendinta  Tarpinstitucinio bendradarbiavimo žmogiškųjų išteklių plėtros programa</t>
  </si>
  <si>
    <t>Įgyvendinta technologijų pamokų programa ŠTMC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</si>
  <si>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</si>
  <si>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</si>
  <si>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</si>
  <si>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</si>
  <si>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</si>
  <si>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</si>
  <si>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</si>
  <si>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</si>
  <si>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</si>
  <si>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</si>
  <si>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</si>
  <si>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</si>
  <si>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</si>
  <si>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</si>
  <si>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1.03.</t>
  </si>
  <si>
    <t>Suformatuotų, atspausdintų ir išduotų naujų elektroninių mokinio pažymėjimų</t>
  </si>
  <si>
    <t>Dalyvavusių pedagogų mokymuose dirbti informacinėmis technologijomis, asmeninių ir profesinių gebėjimų kursuose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</si>
  <si>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</si>
  <si>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</si>
  <si>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</si>
  <si>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Mokinių, dalyvaujančių ,,Kultūros krepšelio“ edukaciniuose užsiėmimuose Šiaulių regiono muziejuose ir kitose kultūros įstaigose</t>
  </si>
  <si>
    <t>Mokinių, lankančių IT, robotikos, inžinerijos neformaliojo ugdymo būrelius, dalis nuo bendro mokinių skaičiaus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</si>
  <si>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</si>
  <si>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</si>
  <si>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</si>
  <si>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</si>
  <si>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</si>
  <si>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</si>
  <si>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</si>
  <si>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</si>
  <si>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</si>
  <si>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</si>
  <si>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</si>
  <si>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08.01.03.05</t>
  </si>
  <si>
    <t>Įgyvendinti projektą „Gerinti mokinių pasiekimus diegiant kokybės krepšelį“</t>
  </si>
  <si>
    <t>Projekte dalyvaujančių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</si>
  <si>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</si>
  <si>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</si>
  <si>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</si>
  <si>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</si>
  <si>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</si>
  <si>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</si>
  <si>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</si>
  <si>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</si>
  <si>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</si>
  <si>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</si>
  <si>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</si>
  <si>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</si>
  <si>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</si>
  <si>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</si>
  <si>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</si>
  <si>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</si>
  <si>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</si>
  <si>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</si>
  <si>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</si>
  <si>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</si>
  <si>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</si>
  <si>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</si>
  <si>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</si>
  <si>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</si>
  <si>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</si>
  <si>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</si>
  <si>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</si>
  <si>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</si>
  <si>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</si>
  <si>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</si>
  <si>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</si>
  <si>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</si>
  <si>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</si>
  <si>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</si>
  <si>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</si>
  <si>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</si>
  <si>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</si>
  <si>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</si>
  <si>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</si>
  <si>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</si>
  <si>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</si>
  <si>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</si>
  <si>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</si>
  <si>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 xml:space="preserve">Švietimo skyrius; Projektų valdymo skyrius; Šiaulių Vinco Kudirkos progimnazija </t>
  </si>
  <si>
    <t>Mokytojai dirbantys su mokiniais turinčiais didelių specialių ugdymosi poreikių</t>
  </si>
  <si>
    <t>08.05.</t>
  </si>
  <si>
    <t>Gerinti ugdymo sąlygas ir aplinką</t>
  </si>
  <si>
    <t>Įstaigų, kuriose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</si>
  <si>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</si>
  <si>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</si>
  <si>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</si>
  <si>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</si>
  <si>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Projektų valdymo skyrius</t>
  </si>
  <si>
    <t>Įrengta sporto aikštelė</t>
  </si>
  <si>
    <t>Atlikti išorės sienų šiltinimo darbai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</si>
  <si>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</si>
  <si>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</si>
  <si>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</si>
  <si>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</si>
  <si>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</si>
  <si>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</si>
  <si>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"Rasos" progimnazijos sporto aikštyno atnaujinimo rangos darbai</t>
  </si>
  <si>
    <t>Atlikti Gytarių progimnazijos sporto aikštyno atnaujinimo rangos darbai</t>
  </si>
  <si>
    <t>Atlikti ,,Saulėtekio“ gimnazijos sporto aikštyno atnaujinimo darbai</t>
  </si>
  <si>
    <t>Atlikti "Romuvos" progimnazijos sporto aikštyno atnaujinimo darbai</t>
  </si>
  <si>
    <t>Atlikti Dainų progimnazijos sporto aikštyno atnaujinimo darbai</t>
  </si>
  <si>
    <t>08.05.02.22</t>
  </si>
  <si>
    <t>Įgyvendinti projektą „Rėkyvos progimnazijos rekonstrukcija ir aplinkos gerinimas“</t>
  </si>
  <si>
    <t>Atlikta planuotų mokyklos rekonstravimo darbų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</si>
  <si>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</si>
  <si>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</si>
  <si>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</si>
  <si>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 l/d „Coliukė“, l/d „Pasaka“, Lieporių gimnazija, l/d „Dainelė“, Dainų progimnazija, l/d "Gluosnis", "Bitė", "Pupų pėdas", "Voveraitė", "Žiogelis" ir kt.)</t>
  </si>
  <si>
    <t>08.05.02.24</t>
  </si>
  <si>
    <t>Atnaujinti švietimo įstaigų teritorijų lauko įrenginius ir aptvėrimą</t>
  </si>
  <si>
    <t>Švietimo įstaigų, kuriose atnaujintas lauko apšvietimas (Dailės mokykla, Dainų muzikos mokykla ir kt.)</t>
  </si>
  <si>
    <t>Švietimo įstaigų, kuriose atnaujinti lauko įrenginiai ir aptvertos teritorijos (Gegužių, Rėkyvos, "Juventos" progimnazijos ir kt.)</t>
  </si>
  <si>
    <t>08.05.02.31</t>
  </si>
  <si>
    <t>Atnaujinti švietimo įstaigų pastatus, patalpas, įrangą ir komunikacijas</t>
  </si>
  <si>
    <t>Švietimo įstaigų, atnaujinusių  virtuves ir įrangą (ŠUG; Centro pradinė mokykla ir  kt.)</t>
  </si>
  <si>
    <t>Įstaigų, kurių pastatams apšiltintos sienos (Lopšelis darželis ,,Trys nykštukai“ ir kt.).)</t>
  </si>
  <si>
    <t>Atnaujinta vėdinimo sistema ir lauko laiptai (Gytarių progimnazija, SUG ir kt.)</t>
  </si>
  <si>
    <t>Įstaigų, kuriose atliktas vamzdynų ir patalpų remontas, įsigyta įranga (lopšelis-darželis "Ežerėlis", Rėkyvos progimnazija, ,Rasos“ prog. ikimokyklinis skyrius, ir kt.)</t>
  </si>
  <si>
    <t>Įstaigų, kuriose atliktas elektros instaliacijos remontas (l/d „Ąžuoliukas“, ,,Drugelis“, "Eglutė", Lieporių gimnazija, Centro pradinė mokykla, P. Avižonio ugdymo centras ir kt.)</t>
  </si>
  <si>
    <t>Įstaigų, kuriose atnaujinti arba suremontuoti stogai (V. Kudirkos progimnazija, „Dagilėlio“ dainavimo mokykla, Juliaus Janonio gimnazija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</si>
  <si>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</si>
  <si>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</si>
  <si>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</si>
  <si>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</si>
  <si>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</si>
  <si>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Įsigyta įranga ir baldai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</si>
  <si>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</si>
  <si>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</si>
  <si>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</si>
  <si>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</si>
  <si>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Projektų valdymo skyrius; Statybos ir renovacijos skyrius; Šiaulių Dainų progimnazija</t>
  </si>
  <si>
    <t>Įrengti liftai ir kitas pritaikymas neįgaliesiems švietimo įstaigose ("Romuvos", Dainų, Salduvės, V. Kudirkos progimnazijos, Dailės mokykla,)</t>
  </si>
  <si>
    <t>Įdiegta kondicionavimo įranga ikimokyklinio ugdymo įstaigose</t>
  </si>
  <si>
    <t>Švietimo įstaigose įrengtų saulės elektrinių</t>
  </si>
  <si>
    <t>08.05.02.61</t>
  </si>
  <si>
    <t>Įgyvendinti projektą „Savivaldybės viešųjų pastatų atnaujinimui teikiamų subsidijų panaudojimas“</t>
  </si>
  <si>
    <t>Švietimo skyrius; Projektų valdymo skyrius; Statybos ir renovacijos skyrius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</si>
  <si>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</si>
  <si>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</si>
  <si>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</si>
  <si>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</si>
  <si>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</si>
  <si>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</si>
  <si>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(Ragainės, V. Kudirkos,  Gegužių, Gytarių, Jovaro , Zoknių progimnazijų, "Romuvos", Šiaulių universitetinės gimnazijų ir kt.)</t>
  </si>
  <si>
    <t>08.05.02.65</t>
  </si>
  <si>
    <t>Atnaujinti Šiaulių jaunųjų gamtininkų centrą (Žuvininkų g.30)</t>
  </si>
  <si>
    <t>Švietimo skyrius; Šiaulių jaunųjų gamtininkų centras</t>
  </si>
  <si>
    <t>Parengtas projektas</t>
  </si>
  <si>
    <t>08.05.02.66</t>
  </si>
  <si>
    <t>Įrengti edukacines erdves bendrojo ugdymo mokyklose, plėtojant visos dienos mokyklos veiklas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</si>
  <si>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</si>
  <si>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</si>
  <si>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</si>
  <si>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</si>
  <si>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</si>
  <si>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Projektų valdymo skyrius; Šiaulių S. Šalkauskio gimnazija; Šiaulių Salduvės progimnazija; Šiaulių Ragainės progimnazija; Šiaulių Gytarių progimnazija; Šiaulių universitetinė gimnazija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</si>
  <si>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</si>
  <si>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</si>
  <si>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Atnaujinta infrastruktūra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</si>
  <si>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</si>
  <si>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</si>
  <si>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nuo bendro TŪM mokyklų 7-12 klasių mokinių skaičiaus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</si>
  <si>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</si>
  <si>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</si>
  <si>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</si>
  <si>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</si>
  <si>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</si>
  <si>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</si>
  <si>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</si>
  <si>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</si>
  <si>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09.01.01.02</t>
  </si>
  <si>
    <t>Modernizuoti VšĮ Šiaulių reabilitacijos centro pastatą</t>
  </si>
  <si>
    <t>Sveikatos skyrius; VšĮ Šiaulių reabilitacijos centras</t>
  </si>
  <si>
    <t>Atlikta rekuperavimo ir kondicionavimo sistemos įrengimo darbų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</si>
  <si>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</si>
  <si>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</si>
  <si>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Projektų valdymo skyrius</t>
  </si>
  <si>
    <t>Parengta atnaujinimo (modernizavimo) techninė dokumentacija</t>
  </si>
  <si>
    <t>Įsigyta medicininė įranga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</si>
  <si>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</si>
  <si>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</si>
  <si>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</si>
  <si>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</si>
  <si>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09.01.01.13</t>
  </si>
  <si>
    <t>Modernizuoti VšĮ Šiaulių centro polikliniką</t>
  </si>
  <si>
    <t>Sveikatos skyrius; VšĮ Šiaulių centro poliklinika</t>
  </si>
  <si>
    <t>Atlikta vidaus patalpų ir odontologinės įrangos atnaujinimo darbų</t>
  </si>
  <si>
    <t>Atlikta naujojo Odontologijos korpuso fasado remonto darbų</t>
  </si>
  <si>
    <t>Atlikta rekuperavimo ir kondicionavimo sistemos pagrindiniame poliklinikos korpuse įrengimo darbų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</si>
  <si>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</si>
  <si>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</si>
  <si>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</si>
  <si>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</si>
  <si>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</si>
  <si>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</si>
  <si>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</si>
  <si>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</si>
  <si>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</si>
  <si>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</si>
  <si>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</si>
  <si>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</si>
  <si>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</si>
  <si>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</si>
  <si>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</si>
  <si>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Suteiktų individualių konsultacijų</t>
  </si>
  <si>
    <t>Suteiktų grupinių konsultacijų</t>
  </si>
  <si>
    <t>Pravestų mokymų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</si>
  <si>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</si>
  <si>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</si>
  <si>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</si>
  <si>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</si>
  <si>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Sveikatos skyrius; Projektų valdymo skyrius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</si>
  <si>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</si>
  <si>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</si>
  <si>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</si>
  <si>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Projektų valdymo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</si>
  <si>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</si>
  <si>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</si>
  <si>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</si>
  <si>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</si>
  <si>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</si>
  <si>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</si>
  <si>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09.01.04.08</t>
  </si>
  <si>
    <t>Įgyvendinti projektą „Geležinkelių transporto aplinkos apsaugos priemonių (triukšmą slopinančių priemonių) diegimas Šiaulių miesto savivaldybėje"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</si>
  <si>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</si>
  <si>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</si>
  <si>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</si>
  <si>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</si>
  <si>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</si>
  <si>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</si>
  <si>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</si>
  <si>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</si>
  <si>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</si>
  <si>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</si>
  <si>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</si>
  <si>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</si>
  <si>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</si>
  <si>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</si>
  <si>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</si>
  <si>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</si>
  <si>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</si>
  <si>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</si>
  <si>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Paslaugų gavėjų su sunkia negalia</t>
  </si>
  <si>
    <t>Paslaugų gavėjų su negalia</t>
  </si>
  <si>
    <t>Patenkintų prašymų laikino atokvėpio paslaugai gauti (nuo visų pateiktų asmenų prašymų)</t>
  </si>
  <si>
    <t>10.01.01.07</t>
  </si>
  <si>
    <t>Įgyvendinti Užimtumo didinimo programą laikiną užimtumą užtikrinančiomis priemonėmis</t>
  </si>
  <si>
    <t>Socialinių paslaugų skyrius; Šiaulių miesto savivaldybės socialinių paslaugų centras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</si>
  <si>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</si>
  <si>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</si>
  <si>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</si>
  <si>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</si>
  <si>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</si>
  <si>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</si>
  <si>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</si>
  <si>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</si>
  <si>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pagalbos į namus paslaugų nuo pateiktų prašymų</t>
  </si>
  <si>
    <t>Suteikta palydėjimo jaunuoliams paslaugų nuo pateiktų prašymų</t>
  </si>
  <si>
    <t>Suteikta intensyvios krizių įveikimo pagalbos paslaugų nuo pateiktų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</si>
  <si>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</si>
  <si>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</si>
  <si>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savivaldybės vaikų globos namai 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</si>
  <si>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</si>
  <si>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</si>
  <si>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Vaikų globos namuose teikiamų paslaugų rūšių</t>
  </si>
  <si>
    <t>Vaikų globos namuose paslaugų gavėjų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</si>
  <si>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</si>
  <si>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</si>
  <si>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</si>
  <si>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</si>
  <si>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Suteikta pavėžėjimo su pagalba paslaugų asmenims su negalia nuo pateiktų prašymų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</si>
  <si>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</si>
  <si>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</si>
  <si>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</si>
  <si>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</si>
  <si>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</si>
  <si>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</si>
  <si>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</si>
  <si>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Paslaugų gavėjų</t>
  </si>
  <si>
    <t>Akredituotų įstaigų, teikiančių socialinės reabilitacijos paslaugas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</si>
  <si>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</si>
  <si>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</si>
  <si>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</si>
  <si>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</si>
  <si>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</si>
  <si>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</si>
  <si>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</si>
  <si>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</si>
  <si>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</si>
  <si>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</si>
  <si>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</si>
  <si>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</si>
  <si>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Socialinių paslaugų skyrius; Projektų valdymo skyrius</t>
  </si>
  <si>
    <t>Bendruomeninių šeimos namų darbuotojų, organizuojančių kompleksinių paslaugų teikimą šeimai</t>
  </si>
  <si>
    <t>10.01.01.18</t>
  </si>
  <si>
    <t>Įgyvendinti projektą „Vaikų socialinės integracijos skatinimas Jelgavos ir Šiaulių miestuose"</t>
  </si>
  <si>
    <t>Socialinių paslaugų skyrius; Projektų valdymo skyrius; Švietimo skyrius</t>
  </si>
  <si>
    <t>Suremontuota ir įranga aprūpinta vaikų dienos centrų</t>
  </si>
  <si>
    <t>Suteikta psichologo ir teisinių konsultacijų</t>
  </si>
  <si>
    <t>Atnaujinta atviro jaunimo centro infrastruktūra</t>
  </si>
  <si>
    <t>10.01.01.19</t>
  </si>
  <si>
    <t>Užtikrinti Globos centrų veiklą</t>
  </si>
  <si>
    <t xml:space="preserve">Socialinių paslaugų skyrius; Šiaulių miesto savivaldybės socialinių paslaugų centras; Šiaulių miesto savivaldybės vaikų globos namai </t>
  </si>
  <si>
    <t>Budinčių globotojų</t>
  </si>
  <si>
    <t>Budinčių globotojų šeimose globojamų vaikų</t>
  </si>
  <si>
    <t>GIMK mokymus baigusių asmenų</t>
  </si>
  <si>
    <t>Koordinuotos pagalbos atvejų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</si>
  <si>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</si>
  <si>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</si>
  <si>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</si>
  <si>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</si>
  <si>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</si>
  <si>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</si>
  <si>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</si>
  <si>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</si>
  <si>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Projektų valdymo skyrius</t>
  </si>
  <si>
    <t>10.01.03.11</t>
  </si>
  <si>
    <t>Naujo padalinio prie Šiaulių miesto savivaldybės globos namų (Energetikų g. 13 A) statyba</t>
  </si>
  <si>
    <t>Statybos ir renovacijos skyrius; Šiaulių miesto savivaldybės globos namai</t>
  </si>
  <si>
    <t>10.01.03.12</t>
  </si>
  <si>
    <t>Įgyvendinti projektą „Bendruomeninių apgyvendinimo bei užimtumo paslaugų asmenims su proto ir psichikos negaliai plėtra Šiaulių mieste“</t>
  </si>
  <si>
    <t>Projektų valdymo skyrius; Statybos ir renovacijos skyrius; Socialinių paslaugų skyrius; Šiaulių miesto savivaldybės vaikų globos namai ; Kompleksinių paslaugų namai ,,Alka"</t>
  </si>
  <si>
    <t>Pastatyti ir grupinio gyvenimo namų veiklai pritaikyti namai</t>
  </si>
  <si>
    <t>Rekonstruotas ir specializuotos slaugos-globos namų, dienos užimtumo ir socialinių dirbtuvių veiklai pritaikytas pastatas</t>
  </si>
  <si>
    <t>10.01.03.14</t>
  </si>
  <si>
    <t>Plėsti bendruomenines paslaugas vaikams</t>
  </si>
  <si>
    <t>Socialinių paslaugų skyrius; Projektų valdymo skyrius; Statybos ir renovacijos skyrius</t>
  </si>
  <si>
    <t>10.01.03.15</t>
  </si>
  <si>
    <t>Gerinti socialinių paslaugų įstaigų pastatų būklę</t>
  </si>
  <si>
    <t>Statybos ir renovacijos skyrius; Socialinių paslaugų skyrius; Šiaulių miesto savivaldybės globos namai; Šiaulių miesto savivaldybės socialinių paslaugų centras</t>
  </si>
  <si>
    <t>Atlikti Globos namų (Energetikų g. 20A) stogo ir gyvenamųjų patalpų remonto darbai</t>
  </si>
  <si>
    <t>Atlikti Socialinių paslaugų centro (Tilžės g. 63B) langų keitimo ir kiti remonto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</si>
  <si>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</si>
  <si>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</si>
  <si>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</si>
  <si>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</si>
  <si>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</si>
  <si>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</si>
  <si>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</si>
  <si>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</si>
  <si>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</si>
  <si>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</si>
  <si>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</si>
  <si>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</si>
  <si>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</si>
  <si>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</si>
  <si>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</si>
  <si>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</si>
  <si>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</si>
  <si>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</si>
  <si>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</si>
  <si>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</si>
  <si>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</si>
  <si>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</si>
  <si>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</si>
  <si>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</si>
  <si>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</si>
  <si>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</si>
  <si>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</si>
  <si>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</si>
  <si>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</si>
  <si>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</si>
  <si>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</si>
  <si>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Darbuotojų, dalyvavusių mokymuose, skaičius (nuo visų darbuotojų skaičiaus)</t>
  </si>
  <si>
    <t>Suteiktų elektroninių paslaugų kiekis</t>
  </si>
  <si>
    <t>Valstybės deleguotų funkcijų skaičius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</si>
  <si>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</si>
  <si>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</si>
  <si>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</si>
  <si>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</si>
  <si>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</si>
  <si>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</si>
  <si>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</si>
  <si>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</si>
  <si>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</si>
  <si>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</si>
  <si>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programinė įranga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</si>
  <si>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</si>
  <si>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</si>
  <si>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</si>
  <si>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</si>
  <si>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</si>
  <si>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11.01.01.02</t>
  </si>
  <si>
    <t>Užtikrinti Savivaldybės tarybos, Savivaldybės mero ir jo politinio (asmeninio) pasitikėjimo valstybės tarnautojų finansinį, ūkinį ir materialinį aptarnavimą</t>
  </si>
  <si>
    <t>Tarybos sekretoriato darbuotojų (pareigybių)</t>
  </si>
  <si>
    <t>Įvykę skelbti Tarybos, Komitetų, Komisijų posėdžiai</t>
  </si>
  <si>
    <t>Laiku paskelbti ir įvykdyti Tarybos priimti sprendimai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</si>
  <si>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</si>
  <si>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</si>
  <si>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</si>
  <si>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</si>
  <si>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</si>
  <si>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</si>
  <si>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</si>
  <si>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</si>
  <si>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</si>
  <si>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</si>
  <si>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</si>
  <si>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</si>
  <si>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</si>
  <si>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</si>
  <si>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</si>
  <si>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</si>
  <si>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Parinktas rengėjas</t>
  </si>
  <si>
    <t>Parengta esamos situacijos analizė</t>
  </si>
  <si>
    <t>Parengtas strateginis plėtros planas</t>
  </si>
  <si>
    <t>Parengtas strateginis veiklos planas</t>
  </si>
  <si>
    <t>11.01.02.</t>
  </si>
  <si>
    <t>Tinkamai įgyvendinti valstybines (perduotas savivaldybei) funkcijas</t>
  </si>
  <si>
    <t>11.01.02.01</t>
  </si>
  <si>
    <t>Deklaruoti gyvenamąją vietą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</si>
  <si>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</si>
  <si>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</si>
  <si>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</si>
  <si>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</si>
  <si>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</si>
  <si>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</si>
  <si>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</si>
  <si>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</si>
  <si>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</si>
  <si>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</si>
  <si>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</si>
  <si>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</si>
  <si>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</si>
  <si>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</si>
  <si>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</si>
  <si>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Vyriausiasis specialistas (jaunimo reikalų koordinatorius)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</si>
  <si>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</si>
  <si>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</si>
  <si>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</si>
  <si>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</si>
  <si>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</si>
  <si>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</si>
  <si>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</si>
  <si>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</si>
  <si>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</si>
  <si>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</si>
  <si>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</si>
  <si>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</si>
  <si>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</si>
  <si>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</si>
  <si>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</si>
  <si>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</si>
  <si>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11.01.02.19</t>
  </si>
  <si>
    <t>Administruoti valstybinės žemės valdymą</t>
  </si>
  <si>
    <t>Perimtų patikėjimo teise valdyti žemės ir miško sklypų sk.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</si>
  <si>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</si>
  <si>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</si>
  <si>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</si>
  <si>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</si>
  <si>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</si>
  <si>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</si>
  <si>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</si>
  <si>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</si>
  <si>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11.01.02.23</t>
  </si>
  <si>
    <t>Atlikti erdvinių duomenų rinkinio tvarkymo funkciją</t>
  </si>
  <si>
    <t>Atlikta tvarkymo funkcija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</si>
  <si>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</si>
  <si>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</si>
  <si>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</si>
  <si>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</si>
  <si>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</si>
  <si>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</si>
  <si>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</si>
  <si>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Projektų valdymo skyrius; Bendrųjų reikalų skyrius; Miesto koordinavimo skyrius; Miesto ūkio ir aplinkos skyrius</t>
  </si>
  <si>
    <t>Patobulinti viešojo administravimo paslaugų organizavimo ir teikimo procesai</t>
  </si>
  <si>
    <t>Įgyvendintas miesto teritorijų priežiūros kontrolės sprendinys</t>
  </si>
  <si>
    <t>11.01.04.08</t>
  </si>
  <si>
    <t>Įgyvendinti projektą „Bendradarbiavimas pasienio regione siekiant užtikrinti saugumą ir viešųjų paslaugų efektyvumą“</t>
  </si>
  <si>
    <t>Projektų valdymo skyrius; Miesto koordinavimo skyrius</t>
  </si>
  <si>
    <t>Įrengtų vaizdo stebėjimo kamerų</t>
  </si>
  <si>
    <t>Įsigyta kilnojamų vaizdo stebėjimo kamerų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</si>
  <si>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</si>
  <si>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</si>
  <si>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</si>
  <si>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</si>
  <si>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Pasirašytų paskolų sutarčių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</si>
  <si>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</si>
  <si>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</si>
  <si>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</si>
  <si>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</si>
  <si>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</si>
  <si>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</si>
  <si>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</si>
  <si>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</si>
  <si>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</si>
  <si>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</si>
  <si>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</si>
  <si>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</si>
  <si>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</si>
  <si>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</si>
  <si>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</si>
  <si>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</si>
  <si>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</si>
  <si>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</si>
  <si>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</si>
  <si>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</si>
  <si>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</si>
  <si>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</si>
  <si>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</si>
  <si>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</si>
  <si>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</si>
  <si>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</si>
  <si>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</si>
  <si>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</si>
  <si>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</si>
  <si>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</si>
  <si>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</si>
  <si>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</si>
  <si>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koordinatorius); Šiaulių dailės mokykla</t>
  </si>
  <si>
    <t>Finansuota projektų</t>
  </si>
  <si>
    <t>Finansuota prašymų</t>
  </si>
  <si>
    <t>Įgyvendinta iniciatyvų</t>
  </si>
  <si>
    <t>11.02.01.04</t>
  </si>
  <si>
    <t>Skatinti nevyriausybinių organizacijų veiklą ir užtikrinti jų plėtrą</t>
  </si>
  <si>
    <t>Vyriausiasis specialistas (nevyriausybinių organizacijų koordinatorius)</t>
  </si>
  <si>
    <t>Suorganizuota mokymų</t>
  </si>
  <si>
    <t>11.02.01.05</t>
  </si>
  <si>
    <t>Dalyvauti rengiant ir įgyvendinant Šiaulių vietos veiklos grupės strategiją</t>
  </si>
  <si>
    <t>Sudaryta biudžeto lėšų naudojimo sutarčių</t>
  </si>
  <si>
    <t>11.02.01.06</t>
  </si>
  <si>
    <t>Įgyvendinti dalyvaujamojo biudžeto iniciatyvas</t>
  </si>
  <si>
    <t>Architektūros, urbanistikos ir paveldosaugos skyrius; Miesto ūkio ir aplinkos skyrius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</si>
  <si>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</si>
  <si>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</si>
  <si>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</si>
  <si>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</si>
  <si>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</si>
  <si>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</si>
  <si>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</si>
  <si>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</si>
  <si>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</si>
  <si>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Ankstyvosios trečiųjų valstybių piliečių integracijos veiklas vykdančių organizacijų</t>
  </si>
  <si>
    <t>Suorganizuota mokymų ir individualių konsultacijų, skirtų karo pabėgėlių įgalinimui</t>
  </si>
  <si>
    <t>Suorganizuota prevencinių konsultacijų sprendžiant priklausomybių problemas</t>
  </si>
  <si>
    <t>Suorganizuota prevencinių renginių sprendžiant priklausomybių problemas</t>
  </si>
  <si>
    <t>Suorganizuota stovyklų, skirtų vietos bendruomenės narių ir užsieniečių sutelktumo stiprinimui</t>
  </si>
  <si>
    <t>žm.</t>
  </si>
  <si>
    <t>Suorganizuota konsultacijų, skirtų tėvams ir jų vaikams sėkmingai pasiruošti ugdymo procesui</t>
  </si>
  <si>
    <t>Suorganizuota renginių / suteikta kompleksinių psichosocialinių konsultacijų  karo pabėgėliams</t>
  </si>
  <si>
    <t>Dirbančių užsieniečių dalis nuo visų darbingo amžiaus užsieniečių, registruotų savivaldybės teritorijoje</t>
  </si>
  <si>
    <t>Parengta paraiška lėšoms gauti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</si>
  <si>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</si>
  <si>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</si>
  <si>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</si>
  <si>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</si>
  <si>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</si>
  <si>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</si>
  <si>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</si>
  <si>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</si>
  <si>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</si>
  <si>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</si>
  <si>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</si>
  <si>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</si>
  <si>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</si>
  <si>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</si>
  <si>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</si>
  <si>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</si>
  <si>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</si>
  <si>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</si>
  <si>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</si>
  <si>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Sporto skyrius; Šiaulių teniso akademija</t>
  </si>
  <si>
    <t>Sporto skyrius; Šiaulių regbio ir žolės riedulio akademija</t>
  </si>
  <si>
    <t>Šiaulių miesto savivaldybės tarybos</t>
  </si>
  <si>
    <t>2023 m. vasario 2 d. sprendimo Nr. T-1</t>
  </si>
  <si>
    <t>(Šiaulių miesto savivaldybės tarybos</t>
  </si>
  <si>
    <t>3 priedas</t>
  </si>
  <si>
    <t>2023 m. gruodžio       d. sprendimo Nr. T-     redakcija)</t>
  </si>
  <si>
    <t>IŠ VISO programoms finansuoti pagal finansavimo šaltinius: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</si>
</sst>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0E4F6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10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vertical="center"/>
    </xf>
    <xf numFmtId="0" fontId="1" fillId="2" borderId="0" xfId="0" applyFont="1" applyFill="1"/>
    <xf numFmtId="0" fontId="2" fillId="0" borderId="3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1" fillId="5" borderId="7" xfId="0" applyFont="1" applyFill="1" applyBorder="1" applyAlignment="1" applyProtection="1">
      <alignment vertical="top" wrapText="1" readingOrder="1"/>
      <protection locked="0"/>
    </xf>
    <xf numFmtId="0" fontId="1" fillId="5" borderId="8" xfId="0" applyFont="1" applyFill="1" applyBorder="1" applyAlignment="1" applyProtection="1">
      <alignment vertical="top" wrapText="1" readingOrder="1"/>
      <protection locked="0"/>
    </xf>
    <xf numFmtId="164" fontId="1" fillId="5" borderId="8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vertical="top" wrapText="1" readingOrder="1"/>
      <protection locked="0"/>
    </xf>
    <xf numFmtId="164" fontId="1" fillId="4" borderId="8" xfId="0" applyNumberFormat="1" applyFont="1" applyFill="1" applyBorder="1" applyAlignment="1">
      <alignment horizontal="right" vertical="top" wrapText="1" readingOrder="1"/>
    </xf>
    <xf numFmtId="0" fontId="1" fillId="4" borderId="8" xfId="0" applyFont="1" applyFill="1" applyBorder="1" applyAlignment="1" applyProtection="1">
      <alignment horizontal="left" vertical="top" wrapText="1" readingOrder="1"/>
      <protection locked="0"/>
    </xf>
    <xf numFmtId="0" fontId="1" fillId="4" borderId="8" xfId="0" applyFont="1" applyFill="1" applyBorder="1" applyAlignment="1" applyProtection="1">
      <alignment horizontal="center" vertical="top" wrapText="1" readingOrder="1"/>
      <protection locked="0"/>
    </xf>
    <xf numFmtId="0" fontId="1" fillId="3" borderId="7" xfId="0" applyFont="1" applyFill="1" applyBorder="1" applyAlignment="1" applyProtection="1">
      <alignment vertical="top" wrapText="1" readingOrder="1"/>
      <protection locked="0"/>
    </xf>
    <xf numFmtId="164" fontId="1" fillId="3" borderId="8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 applyProtection="1">
      <alignment horizontal="left" vertical="top" wrapText="1" readingOrder="1"/>
      <protection locked="0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horizontal="left" vertical="top" wrapText="1" readingOrder="1"/>
      <protection locked="0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0" fontId="1" fillId="0" borderId="7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vertical="top" wrapText="1" readingOrder="1"/>
      <protection locked="0"/>
    </xf>
    <xf numFmtId="164" fontId="1" fillId="0" borderId="8" xfId="0" applyNumberFormat="1" applyFont="1" applyBorder="1" applyAlignment="1" applyProtection="1">
      <alignment horizontal="right" vertical="top" wrapText="1" readingOrder="1"/>
      <protection locked="0"/>
    </xf>
    <xf numFmtId="164" fontId="1" fillId="7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1" fillId="7" borderId="1" xfId="0" applyFont="1" applyFill="1" applyBorder="1" applyAlignment="1" applyProtection="1">
      <alignment horizontal="left" vertical="top" wrapText="1" readingOrder="1"/>
      <protection locked="0"/>
    </xf>
    <xf numFmtId="0" fontId="1" fillId="7" borderId="1" xfId="0" applyFont="1" applyFill="1" applyBorder="1" applyAlignment="1" applyProtection="1">
      <alignment horizontal="center" vertical="top" wrapText="1" readingOrder="1"/>
      <protection locked="0"/>
    </xf>
    <xf numFmtId="0" fontId="1" fillId="0" borderId="3" xfId="0" applyFont="1" applyBorder="1" applyAlignment="1" applyProtection="1">
      <alignment horizontal="left"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3" xfId="0" applyFont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 applyProtection="1">
      <alignment vertical="top" wrapText="1" readingOrder="1"/>
      <protection locked="0"/>
    </xf>
    <xf numFmtId="0" fontId="1" fillId="2" borderId="0" xfId="0" applyFont="1" applyFill="1" applyAlignment="1" applyProtection="1">
      <alignment horizontal="left" vertical="top" wrapText="1" readingOrder="1"/>
      <protection locked="0"/>
    </xf>
    <xf numFmtId="164" fontId="1" fillId="2" borderId="0" xfId="0" applyNumberFormat="1" applyFont="1" applyFill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>
      <alignment horizontal="center" wrapText="1" readingOrder="1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2" fillId="6" borderId="1" xfId="0" applyFont="1" applyFill="1" applyBorder="1" applyAlignment="1" applyProtection="1">
      <alignment vertical="top" wrapText="1" readingOrder="1"/>
      <protection locked="0"/>
    </xf>
    <xf numFmtId="0" fontId="2" fillId="6" borderId="1" xfId="0" applyFont="1" applyFill="1" applyBorder="1" applyAlignment="1" applyProtection="1">
      <alignment horizontal="right" vertical="top" wrapText="1" readingOrder="1"/>
      <protection locked="0"/>
    </xf>
    <xf numFmtId="164" fontId="2" fillId="6" borderId="1" xfId="0" applyNumberFormat="1" applyFont="1" applyFill="1" applyBorder="1" applyAlignment="1">
      <alignment horizontal="right" vertical="top" wrapText="1" readingOrder="1"/>
    </xf>
    <xf numFmtId="0" fontId="1" fillId="0" borderId="0" xfId="0" applyFont="1" applyAlignment="1">
      <alignment horizontal="center" wrapText="1"/>
    </xf>
    <xf numFmtId="0" fontId="1" fillId="4" borderId="9" xfId="0" applyFont="1" applyFill="1" applyBorder="1" applyAlignment="1" applyProtection="1">
      <alignment horizontal="center" vertical="top" wrapText="1" readingOrder="1"/>
      <protection locked="0"/>
    </xf>
    <xf numFmtId="0" fontId="1" fillId="0" borderId="9" xfId="0" applyFont="1" applyBorder="1" applyAlignment="1" applyProtection="1">
      <alignment horizontal="center" vertical="top" wrapText="1" readingOrder="1"/>
      <protection locked="0"/>
    </xf>
    <xf numFmtId="0" fontId="1" fillId="0" borderId="6" xfId="0" applyFont="1" applyBorder="1" applyAlignment="1" applyProtection="1">
      <alignment horizontal="center" vertical="top" wrapText="1" readingOrder="1"/>
      <protection locked="0"/>
    </xf>
    <xf numFmtId="0" fontId="1" fillId="7" borderId="6" xfId="0" applyFont="1" applyFill="1" applyBorder="1" applyAlignment="1" applyProtection="1">
      <alignment horizontal="center" vertical="top" wrapText="1" readingOrder="1"/>
      <protection locked="0"/>
    </xf>
    <xf numFmtId="3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1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1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1" fillId="0" borderId="9" xfId="0" applyNumberFormat="1" applyFont="1" applyBorder="1" applyAlignment="1" applyProtection="1">
      <alignment horizontal="center" vertical="top" wrapText="1" readingOrder="1"/>
      <protection locked="0"/>
    </xf>
    <xf numFmtId="3" fontId="1" fillId="7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7" borderId="6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0" borderId="4" xfId="0" applyFont="1" applyBorder="1" applyAlignment="1" applyProtection="1">
      <alignment horizontal="center" vertical="top" wrapText="1" readingOrder="1"/>
      <protection locked="0"/>
    </xf>
    <xf numFmtId="0" fontId="1" fillId="0" borderId="14" xfId="0" applyFont="1" applyBorder="1" applyAlignment="1" applyProtection="1">
      <alignment horizontal="left" vertical="top" wrapText="1" readingOrder="1"/>
      <protection locked="0"/>
    </xf>
    <xf numFmtId="0" fontId="1" fillId="0" borderId="18" xfId="0" applyFont="1" applyBorder="1" applyAlignment="1" applyProtection="1">
      <alignment horizontal="left" vertical="top" wrapText="1" readingOrder="1"/>
      <protection locked="0"/>
    </xf>
    <xf numFmtId="0" fontId="1" fillId="0" borderId="15" xfId="0" applyFont="1" applyBorder="1" applyAlignment="1" applyProtection="1">
      <alignment horizontal="left" vertical="top" wrapText="1" readingOrder="1"/>
      <protection locked="0"/>
    </xf>
    <xf numFmtId="0" fontId="1" fillId="0" borderId="16" xfId="0" applyFont="1" applyBorder="1" applyAlignment="1" applyProtection="1">
      <alignment horizontal="left" vertical="top" wrapText="1" readingOrder="1"/>
      <protection locked="0"/>
    </xf>
    <xf numFmtId="0" fontId="1" fillId="0" borderId="19" xfId="0" applyFont="1" applyBorder="1" applyAlignment="1" applyProtection="1">
      <alignment horizontal="left" vertical="top" wrapText="1" readingOrder="1"/>
      <protection locked="0"/>
    </xf>
    <xf numFmtId="0" fontId="1" fillId="0" borderId="17" xfId="0" applyFont="1" applyBorder="1" applyAlignment="1" applyProtection="1">
      <alignment horizontal="left" vertical="top" wrapText="1" readingOrder="1"/>
      <protection locked="0"/>
    </xf>
    <xf numFmtId="0" fontId="1" fillId="3" borderId="10" xfId="0" applyFont="1" applyFill="1" applyBorder="1" applyAlignment="1" applyProtection="1">
      <alignment horizontal="center" vertical="top" wrapText="1" readingOrder="1"/>
      <protection locked="0"/>
    </xf>
    <xf numFmtId="0" fontId="1" fillId="3" borderId="11" xfId="0" applyFont="1" applyFill="1" applyBorder="1" applyAlignment="1" applyProtection="1">
      <alignment horizontal="center" vertical="top" wrapText="1" readingOrder="1"/>
      <protection locked="0"/>
    </xf>
    <xf numFmtId="0" fontId="1" fillId="3" borderId="13" xfId="0" applyFont="1" applyFill="1" applyBorder="1" applyAlignment="1" applyProtection="1">
      <alignment horizontal="center" vertical="top" wrapText="1" readingOrder="1"/>
      <protection locked="0"/>
    </xf>
    <xf numFmtId="0" fontId="1" fillId="4" borderId="14" xfId="0" applyFont="1" applyFill="1" applyBorder="1" applyAlignment="1" applyProtection="1">
      <alignment horizontal="left" vertical="top" wrapText="1" readingOrder="1"/>
      <protection locked="0"/>
    </xf>
    <xf numFmtId="0" fontId="1" fillId="4" borderId="15" xfId="0" applyFont="1" applyFill="1" applyBorder="1" applyAlignment="1" applyProtection="1">
      <alignment horizontal="left" vertical="top" wrapText="1" readingOrder="1"/>
      <protection locked="0"/>
    </xf>
    <xf numFmtId="0" fontId="1" fillId="4" borderId="20" xfId="0" applyFont="1" applyFill="1" applyBorder="1" applyAlignment="1" applyProtection="1">
      <alignment horizontal="left" vertical="top" wrapText="1" readingOrder="1"/>
      <protection locked="0"/>
    </xf>
    <xf numFmtId="0" fontId="1" fillId="4" borderId="21" xfId="0" applyFont="1" applyFill="1" applyBorder="1" applyAlignment="1" applyProtection="1">
      <alignment horizontal="left" vertical="top" wrapText="1" readingOrder="1"/>
      <protection locked="0"/>
    </xf>
    <xf numFmtId="0" fontId="1" fillId="4" borderId="22" xfId="0" applyFont="1" applyFill="1" applyBorder="1" applyAlignment="1" applyProtection="1">
      <alignment horizontal="left" vertical="top" wrapText="1" readingOrder="1"/>
      <protection locked="0"/>
    </xf>
    <xf numFmtId="0" fontId="1" fillId="4" borderId="25" xfId="0" applyFont="1" applyFill="1" applyBorder="1" applyAlignment="1" applyProtection="1">
      <alignment horizontal="left" vertical="top" wrapText="1" readingOrder="1"/>
      <protection locked="0"/>
    </xf>
    <xf numFmtId="0" fontId="1" fillId="4" borderId="26" xfId="0" applyFont="1" applyFill="1" applyBorder="1" applyAlignment="1" applyProtection="1">
      <alignment horizontal="left" vertical="top" wrapText="1" readingOrder="1"/>
      <protection locked="0"/>
    </xf>
    <xf numFmtId="0" fontId="1" fillId="4" borderId="27" xfId="0" applyFont="1" applyFill="1" applyBorder="1" applyAlignment="1" applyProtection="1">
      <alignment horizontal="left" vertical="top" wrapText="1" readingOrder="1"/>
      <protection locked="0"/>
    </xf>
    <xf numFmtId="0" fontId="1" fillId="3" borderId="10" xfId="0" applyFont="1" applyFill="1" applyBorder="1" applyAlignment="1" applyProtection="1">
      <alignment horizontal="left" vertical="top" wrapText="1" readingOrder="1"/>
      <protection locked="0"/>
    </xf>
    <xf numFmtId="0" fontId="1" fillId="3" borderId="11" xfId="0" applyFont="1" applyFill="1" applyBorder="1" applyAlignment="1" applyProtection="1">
      <alignment horizontal="left" vertical="top" wrapText="1" readingOrder="1"/>
      <protection locked="0"/>
    </xf>
    <xf numFmtId="0" fontId="1" fillId="3" borderId="12" xfId="0" applyFont="1" applyFill="1" applyBorder="1" applyAlignment="1" applyProtection="1">
      <alignment horizontal="left" vertical="top" wrapText="1" readingOrder="1"/>
      <protection locked="0"/>
    </xf>
    <xf numFmtId="0" fontId="1" fillId="3" borderId="13" xfId="0" applyFont="1" applyFill="1" applyBorder="1" applyAlignment="1" applyProtection="1">
      <alignment horizontal="left" vertical="top" wrapText="1" readingOrder="1"/>
      <protection locked="0"/>
    </xf>
    <xf numFmtId="0" fontId="2" fillId="2" borderId="0" xfId="0" applyFont="1" applyFill="1" applyAlignment="1">
      <alignment horizontal="center" wrapText="1"/>
    </xf>
    <xf numFmtId="0" fontId="2" fillId="0" borderId="7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5" borderId="10" xfId="0" applyFont="1" applyFill="1" applyBorder="1" applyAlignment="1" applyProtection="1">
      <alignment horizontal="left" vertical="top" wrapText="1" readingOrder="1"/>
      <protection locked="0"/>
    </xf>
    <xf numFmtId="0" fontId="1" fillId="5" borderId="11" xfId="0" applyFont="1" applyFill="1" applyBorder="1" applyAlignment="1" applyProtection="1">
      <alignment horizontal="left" vertical="top" wrapText="1" readingOrder="1"/>
      <protection locked="0"/>
    </xf>
    <xf numFmtId="0" fontId="1" fillId="5" borderId="12" xfId="0" applyFont="1" applyFill="1" applyBorder="1" applyAlignment="1" applyProtection="1">
      <alignment horizontal="left" vertical="top" wrapText="1" readingOrder="1"/>
      <protection locked="0"/>
    </xf>
    <xf numFmtId="0" fontId="1" fillId="5" borderId="10" xfId="0" applyFont="1" applyFill="1" applyBorder="1" applyAlignment="1" applyProtection="1">
      <alignment horizontal="center" vertical="top" wrapText="1" readingOrder="1"/>
      <protection locked="0"/>
    </xf>
    <xf numFmtId="0" fontId="1" fillId="5" borderId="11" xfId="0" applyFont="1" applyFill="1" applyBorder="1" applyAlignment="1" applyProtection="1">
      <alignment horizontal="center" vertical="top" wrapText="1" readingOrder="1"/>
      <protection locked="0"/>
    </xf>
    <xf numFmtId="0" fontId="1" fillId="5" borderId="13" xfId="0" applyFont="1" applyFill="1" applyBorder="1" applyAlignment="1" applyProtection="1">
      <alignment horizontal="center" vertical="top" wrapText="1" readingOrder="1"/>
      <protection locked="0"/>
    </xf>
    <xf numFmtId="0" fontId="1" fillId="4" borderId="10" xfId="0" applyFont="1" applyFill="1" applyBorder="1" applyAlignment="1" applyProtection="1">
      <alignment horizontal="left" vertical="top" wrapText="1" readingOrder="1"/>
      <protection locked="0"/>
    </xf>
    <xf numFmtId="0" fontId="1" fillId="4" borderId="11" xfId="0" applyFont="1" applyFill="1" applyBorder="1" applyAlignment="1" applyProtection="1">
      <alignment horizontal="left" vertical="top" wrapText="1" readingOrder="1"/>
      <protection locked="0"/>
    </xf>
    <xf numFmtId="0" fontId="1" fillId="4" borderId="12" xfId="0" applyFont="1" applyFill="1" applyBorder="1" applyAlignment="1" applyProtection="1">
      <alignment horizontal="left" vertical="top" wrapText="1" readingOrder="1"/>
      <protection locked="0"/>
    </xf>
    <xf numFmtId="0" fontId="1" fillId="4" borderId="18" xfId="0" applyFont="1" applyFill="1" applyBorder="1" applyAlignment="1" applyProtection="1">
      <alignment horizontal="left" vertical="top" wrapText="1" readingOrder="1"/>
      <protection locked="0"/>
    </xf>
    <xf numFmtId="0" fontId="1" fillId="4" borderId="23" xfId="0" applyFont="1" applyFill="1" applyBorder="1" applyAlignment="1" applyProtection="1">
      <alignment horizontal="left" vertical="top" wrapText="1" readingOrder="1"/>
      <protection locked="0"/>
    </xf>
    <xf numFmtId="0" fontId="1" fillId="4" borderId="0" xfId="0" applyFont="1" applyFill="1" applyBorder="1" applyAlignment="1" applyProtection="1">
      <alignment horizontal="left" vertical="top" wrapText="1" readingOrder="1"/>
      <protection locked="0"/>
    </xf>
    <xf numFmtId="0" fontId="1" fillId="4" borderId="24" xfId="0" applyFont="1" applyFill="1" applyBorder="1" applyAlignment="1" applyProtection="1">
      <alignment horizontal="left" vertical="top" wrapText="1" readingOrder="1"/>
      <protection locked="0"/>
    </xf>
    <xf numFmtId="0" fontId="1" fillId="0" borderId="16" xfId="0" applyFont="1" applyBorder="1" applyAlignment="1" applyProtection="1">
      <alignment vertical="top" wrapText="1" readingOrder="1"/>
      <protection locked="0"/>
    </xf>
    <xf numFmtId="0" fontId="1" fillId="0" borderId="19" xfId="0" applyFont="1" applyBorder="1" applyAlignment="1" applyProtection="1">
      <alignment vertical="top" wrapText="1" readingOrder="1"/>
      <protection locked="0"/>
    </xf>
    <xf numFmtId="0" fontId="1" fillId="0" borderId="17" xfId="0" applyFont="1" applyBorder="1" applyAlignment="1" applyProtection="1">
      <alignment vertical="top" wrapText="1" readingOrder="1"/>
      <protection locked="0"/>
    </xf>
    <xf numFmtId="0" fontId="2" fillId="8" borderId="1" xfId="0" applyFont="1" applyFill="1" applyBorder="1" applyAlignment="1" applyProtection="1">
      <alignment vertical="top" wrapText="1" readingOrder="1"/>
      <protection locked="0"/>
    </xf>
    <xf numFmtId="164" fontId="2" fillId="8" borderId="1" xfId="0" applyNumberFormat="1" applyFont="1" applyFill="1" applyBorder="1" applyAlignment="1">
      <alignment horizontal="right" vertical="top" wrapText="1" readingOrder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81"/>
  <sheetViews>
    <sheetView showZeros="0" tabSelected="1" workbookViewId="0">
      <selection activeCell="J770" sqref="J770"/>
    </sheetView>
  </sheetViews>
  <sheetFormatPr defaultRowHeight="15" x14ac:dyDescent="0.25"/>
  <cols>
    <col min="1" max="1" width="11.85546875" style="1" customWidth="1"/>
    <col min="2" max="2" width="29.28515625" style="1" customWidth="1"/>
    <col min="3" max="3" width="23.85546875" style="1" customWidth="1"/>
    <col min="4" max="4" width="11.5703125" style="1" customWidth="1"/>
    <col min="5" max="5" width="14.85546875" style="1" customWidth="1"/>
    <col min="6" max="7" width="11.5703125" style="1" customWidth="1"/>
    <col min="8" max="9" width="9.7109375" style="1" customWidth="1"/>
    <col min="10" max="10" width="44.7109375" style="1" customWidth="1"/>
    <col min="11" max="11" width="7.42578125" style="1" customWidth="1"/>
    <col min="12" max="13" width="10.7109375" style="41" customWidth="1"/>
    <col min="14" max="14" width="10.85546875" style="41" customWidth="1"/>
    <col min="15" max="16384" width="9.140625" style="2"/>
  </cols>
  <sheetData>
    <row r="1" spans="1:14" x14ac:dyDescent="0.25">
      <c r="J1" s="1" t="s">
        <v>1191</v>
      </c>
    </row>
    <row r="2" spans="1:14" x14ac:dyDescent="0.25">
      <c r="J2" s="1" t="s">
        <v>1192</v>
      </c>
    </row>
    <row r="3" spans="1:14" x14ac:dyDescent="0.25">
      <c r="J3" s="1" t="s">
        <v>1193</v>
      </c>
    </row>
    <row r="4" spans="1:14" ht="30" x14ac:dyDescent="0.25">
      <c r="J4" s="1" t="s">
        <v>1195</v>
      </c>
    </row>
    <row r="5" spans="1:14" x14ac:dyDescent="0.25">
      <c r="J5" s="1" t="s">
        <v>1194</v>
      </c>
    </row>
    <row r="7" spans="1:14" s="3" customFormat="1" ht="14.25" x14ac:dyDescent="0.2">
      <c r="A7" s="76" t="s">
        <v>0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</row>
    <row r="9" spans="1:14" ht="15.75" thickBot="1" x14ac:dyDescent="0.3"/>
    <row r="10" spans="1:14" s="4" customFormat="1" ht="51" customHeight="1" x14ac:dyDescent="0.25">
      <c r="A10" s="77" t="s">
        <v>1</v>
      </c>
      <c r="B10" s="80" t="s">
        <v>2</v>
      </c>
      <c r="C10" s="80" t="s">
        <v>3</v>
      </c>
      <c r="D10" s="80" t="s">
        <v>4</v>
      </c>
      <c r="E10" s="80" t="s">
        <v>5</v>
      </c>
      <c r="F10" s="80" t="s">
        <v>6</v>
      </c>
      <c r="G10" s="80" t="s">
        <v>7</v>
      </c>
      <c r="H10" s="80" t="s">
        <v>8</v>
      </c>
      <c r="I10" s="80" t="s">
        <v>9</v>
      </c>
      <c r="J10" s="80" t="s">
        <v>10</v>
      </c>
      <c r="K10" s="83"/>
      <c r="L10" s="83"/>
      <c r="M10" s="83"/>
      <c r="N10" s="84"/>
    </row>
    <row r="11" spans="1:14" s="4" customFormat="1" ht="19.5" customHeight="1" x14ac:dyDescent="0.25">
      <c r="A11" s="78"/>
      <c r="B11" s="81"/>
      <c r="C11" s="81"/>
      <c r="D11" s="81"/>
      <c r="E11" s="81"/>
      <c r="F11" s="81"/>
      <c r="G11" s="81"/>
      <c r="H11" s="81"/>
      <c r="I11" s="81"/>
      <c r="J11" s="81" t="s">
        <v>11</v>
      </c>
      <c r="K11" s="81" t="s">
        <v>12</v>
      </c>
      <c r="L11" s="81" t="s">
        <v>13</v>
      </c>
      <c r="M11" s="85"/>
      <c r="N11" s="86"/>
    </row>
    <row r="12" spans="1:14" s="4" customFormat="1" ht="19.5" customHeight="1" thickBot="1" x14ac:dyDescent="0.3">
      <c r="A12" s="79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6" t="s">
        <v>14</v>
      </c>
      <c r="M12" s="6" t="s">
        <v>15</v>
      </c>
      <c r="N12" s="7" t="s">
        <v>16</v>
      </c>
    </row>
    <row r="13" spans="1:14" ht="30" customHeight="1" thickBot="1" x14ac:dyDescent="0.3">
      <c r="A13" s="8" t="s">
        <v>17</v>
      </c>
      <c r="B13" s="9" t="s">
        <v>18</v>
      </c>
      <c r="C13" s="87" t="s">
        <v>19</v>
      </c>
      <c r="D13" s="88"/>
      <c r="E13" s="89"/>
      <c r="F13" s="10">
        <f>SUM(F14:F14)</f>
        <v>1073</v>
      </c>
      <c r="G13" s="10">
        <f>SUM(G14:G14)</f>
        <v>1082.3</v>
      </c>
      <c r="H13" s="10">
        <f>SUM(H14:H14)</f>
        <v>914</v>
      </c>
      <c r="I13" s="10">
        <f>SUM(I14:I14)</f>
        <v>878</v>
      </c>
      <c r="J13" s="90"/>
      <c r="K13" s="91"/>
      <c r="L13" s="91"/>
      <c r="M13" s="91"/>
      <c r="N13" s="92"/>
    </row>
    <row r="14" spans="1:14" ht="45.75" thickBot="1" x14ac:dyDescent="0.3">
      <c r="A14" s="11" t="s">
        <v>21</v>
      </c>
      <c r="B14" s="93" t="s">
        <v>22</v>
      </c>
      <c r="C14" s="94"/>
      <c r="D14" s="94"/>
      <c r="E14" s="95"/>
      <c r="F14" s="12">
        <f>F15+F32+F43+F49</f>
        <v>1073</v>
      </c>
      <c r="G14" s="12">
        <f>G15+G32+G43+G49</f>
        <v>1082.3</v>
      </c>
      <c r="H14" s="12">
        <f>H15+H32+H43+H49</f>
        <v>914</v>
      </c>
      <c r="I14" s="12">
        <f>I15+I32+I43+I49</f>
        <v>878</v>
      </c>
      <c r="J14" s="13" t="s">
        <v>23</v>
      </c>
      <c r="K14" s="14" t="s">
        <v>24</v>
      </c>
      <c r="L14" s="14">
        <v>113</v>
      </c>
      <c r="M14" s="14">
        <v>91</v>
      </c>
      <c r="N14" s="42">
        <v>89</v>
      </c>
    </row>
    <row r="15" spans="1:14" ht="29.25" customHeight="1" thickBot="1" x14ac:dyDescent="0.3">
      <c r="A15" s="15" t="s">
        <v>25</v>
      </c>
      <c r="B15" s="72" t="s">
        <v>26</v>
      </c>
      <c r="C15" s="73"/>
      <c r="D15" s="73"/>
      <c r="E15" s="74"/>
      <c r="F15" s="16">
        <f>F16+F18+F27+F29</f>
        <v>294</v>
      </c>
      <c r="G15" s="16">
        <f>G16+G18+G27+G29</f>
        <v>190.3</v>
      </c>
      <c r="H15" s="16">
        <f>H16+H18+H27+H29</f>
        <v>375</v>
      </c>
      <c r="I15" s="16">
        <f>I16+I18+I27+I29</f>
        <v>335</v>
      </c>
      <c r="J15" s="61"/>
      <c r="K15" s="62"/>
      <c r="L15" s="62"/>
      <c r="M15" s="62"/>
      <c r="N15" s="63"/>
    </row>
    <row r="16" spans="1:14" x14ac:dyDescent="0.25">
      <c r="A16" s="55" t="s">
        <v>27</v>
      </c>
      <c r="B16" s="58" t="s">
        <v>28</v>
      </c>
      <c r="C16" s="58" t="s">
        <v>19</v>
      </c>
      <c r="D16" s="17"/>
      <c r="E16" s="17"/>
      <c r="F16" s="18">
        <f>SUM(F17:F17)</f>
        <v>153</v>
      </c>
      <c r="G16" s="18">
        <f>SUM(G17:G17)</f>
        <v>64.900000000000006</v>
      </c>
      <c r="H16" s="18">
        <f>SUM(H17:H17)</f>
        <v>100</v>
      </c>
      <c r="I16" s="18">
        <f>SUM(I17:I17)</f>
        <v>60</v>
      </c>
      <c r="J16" s="17" t="s">
        <v>29</v>
      </c>
      <c r="K16" s="19" t="s">
        <v>20</v>
      </c>
      <c r="L16" s="19">
        <v>30</v>
      </c>
      <c r="M16" s="19">
        <v>80</v>
      </c>
      <c r="N16" s="43">
        <v>100</v>
      </c>
    </row>
    <row r="17" spans="1:14" ht="75.75" thickBot="1" x14ac:dyDescent="0.3">
      <c r="A17" s="57"/>
      <c r="B17" s="60"/>
      <c r="C17" s="60"/>
      <c r="D17" s="20" t="s">
        <v>30</v>
      </c>
      <c r="E17" s="20"/>
      <c r="F17" s="21">
        <v>153</v>
      </c>
      <c r="G17" s="21">
        <v>64.900000000000006</v>
      </c>
      <c r="H17" s="21">
        <v>100</v>
      </c>
      <c r="I17" s="21">
        <v>60</v>
      </c>
      <c r="J17" s="20" t="s">
        <v>31</v>
      </c>
      <c r="K17" s="22" t="s">
        <v>24</v>
      </c>
      <c r="L17" s="22">
        <v>1</v>
      </c>
      <c r="M17" s="22"/>
      <c r="N17" s="44"/>
    </row>
    <row r="18" spans="1:14" x14ac:dyDescent="0.25">
      <c r="A18" s="55" t="s">
        <v>32</v>
      </c>
      <c r="B18" s="58" t="s">
        <v>33</v>
      </c>
      <c r="C18" s="58" t="s">
        <v>19</v>
      </c>
      <c r="D18" s="17"/>
      <c r="E18" s="17"/>
      <c r="F18" s="18">
        <f>SUM(F19:F26)</f>
        <v>70</v>
      </c>
      <c r="G18" s="18">
        <f>SUM(G19:G26)</f>
        <v>70</v>
      </c>
      <c r="H18" s="18">
        <f>SUM(H19:H26)</f>
        <v>220</v>
      </c>
      <c r="I18" s="18">
        <f>SUM(I19:I26)</f>
        <v>220</v>
      </c>
      <c r="J18" s="17" t="s">
        <v>34</v>
      </c>
      <c r="K18" s="19" t="s">
        <v>24</v>
      </c>
      <c r="L18" s="19">
        <v>1</v>
      </c>
      <c r="M18" s="19">
        <v>8</v>
      </c>
      <c r="N18" s="43">
        <v>8</v>
      </c>
    </row>
    <row r="19" spans="1:14" ht="30" x14ac:dyDescent="0.25">
      <c r="A19" s="56"/>
      <c r="B19" s="59"/>
      <c r="C19" s="59"/>
      <c r="D19" s="20" t="s">
        <v>35</v>
      </c>
      <c r="E19" s="20"/>
      <c r="F19" s="21">
        <v>70</v>
      </c>
      <c r="G19" s="21">
        <v>70</v>
      </c>
      <c r="H19" s="21">
        <v>0</v>
      </c>
      <c r="I19" s="21">
        <v>0</v>
      </c>
      <c r="J19" s="20" t="s">
        <v>36</v>
      </c>
      <c r="K19" s="22" t="s">
        <v>24</v>
      </c>
      <c r="L19" s="22">
        <v>1</v>
      </c>
      <c r="M19" s="22"/>
      <c r="N19" s="44"/>
    </row>
    <row r="20" spans="1:14" ht="45" x14ac:dyDescent="0.25">
      <c r="A20" s="56"/>
      <c r="B20" s="59"/>
      <c r="C20" s="59"/>
      <c r="D20" s="20" t="s">
        <v>30</v>
      </c>
      <c r="E20" s="20"/>
      <c r="F20" s="21">
        <v>0</v>
      </c>
      <c r="G20" s="21">
        <v>0</v>
      </c>
      <c r="H20" s="21">
        <v>220</v>
      </c>
      <c r="I20" s="21">
        <v>220</v>
      </c>
      <c r="J20" s="20" t="s">
        <v>37</v>
      </c>
      <c r="K20" s="22" t="s">
        <v>24</v>
      </c>
      <c r="L20" s="22">
        <v>1</v>
      </c>
      <c r="M20" s="22"/>
      <c r="N20" s="44"/>
    </row>
    <row r="21" spans="1:14" ht="30" x14ac:dyDescent="0.25">
      <c r="A21" s="56"/>
      <c r="B21" s="59"/>
      <c r="C21" s="59"/>
      <c r="D21" s="20"/>
      <c r="E21" s="20"/>
      <c r="F21" s="21">
        <v>0</v>
      </c>
      <c r="G21" s="21">
        <v>0</v>
      </c>
      <c r="H21" s="21">
        <v>0</v>
      </c>
      <c r="I21" s="21">
        <v>0</v>
      </c>
      <c r="J21" s="20" t="s">
        <v>38</v>
      </c>
      <c r="K21" s="22" t="s">
        <v>24</v>
      </c>
      <c r="L21" s="22">
        <v>1</v>
      </c>
      <c r="M21" s="22"/>
      <c r="N21" s="44"/>
    </row>
    <row r="22" spans="1:14" ht="30" x14ac:dyDescent="0.25">
      <c r="A22" s="56"/>
      <c r="B22" s="59"/>
      <c r="C22" s="59"/>
      <c r="D22" s="20"/>
      <c r="E22" s="20"/>
      <c r="F22" s="21">
        <v>0</v>
      </c>
      <c r="G22" s="21">
        <v>0</v>
      </c>
      <c r="H22" s="21">
        <v>0</v>
      </c>
      <c r="I22" s="21">
        <v>0</v>
      </c>
      <c r="J22" s="20" t="s">
        <v>39</v>
      </c>
      <c r="K22" s="22" t="s">
        <v>24</v>
      </c>
      <c r="L22" s="22">
        <v>1</v>
      </c>
      <c r="M22" s="22"/>
      <c r="N22" s="44"/>
    </row>
    <row r="23" spans="1:14" ht="30" x14ac:dyDescent="0.25">
      <c r="A23" s="56"/>
      <c r="B23" s="59"/>
      <c r="C23" s="59"/>
      <c r="D23" s="20"/>
      <c r="E23" s="20"/>
      <c r="F23" s="21">
        <v>0</v>
      </c>
      <c r="G23" s="21">
        <v>0</v>
      </c>
      <c r="H23" s="21">
        <v>0</v>
      </c>
      <c r="I23" s="21">
        <v>0</v>
      </c>
      <c r="J23" s="20" t="s">
        <v>40</v>
      </c>
      <c r="K23" s="22" t="s">
        <v>20</v>
      </c>
      <c r="L23" s="22">
        <v>20</v>
      </c>
      <c r="M23" s="22">
        <v>100</v>
      </c>
      <c r="N23" s="44"/>
    </row>
    <row r="24" spans="1:14" ht="30" x14ac:dyDescent="0.25">
      <c r="A24" s="56"/>
      <c r="B24" s="59"/>
      <c r="C24" s="59"/>
      <c r="D24" s="20"/>
      <c r="E24" s="20"/>
      <c r="F24" s="21">
        <v>0</v>
      </c>
      <c r="G24" s="21">
        <v>0</v>
      </c>
      <c r="H24" s="21">
        <v>0</v>
      </c>
      <c r="I24" s="21">
        <v>0</v>
      </c>
      <c r="J24" s="20" t="s">
        <v>41</v>
      </c>
      <c r="K24" s="22" t="s">
        <v>24</v>
      </c>
      <c r="L24" s="22">
        <v>1</v>
      </c>
      <c r="M24" s="22"/>
      <c r="N24" s="44"/>
    </row>
    <row r="25" spans="1:14" ht="45" x14ac:dyDescent="0.25">
      <c r="A25" s="56"/>
      <c r="B25" s="59"/>
      <c r="C25" s="59"/>
      <c r="D25" s="20"/>
      <c r="E25" s="20"/>
      <c r="F25" s="21">
        <v>0</v>
      </c>
      <c r="G25" s="21">
        <v>0</v>
      </c>
      <c r="H25" s="21">
        <v>0</v>
      </c>
      <c r="I25" s="21">
        <v>0</v>
      </c>
      <c r="J25" s="20" t="s">
        <v>42</v>
      </c>
      <c r="K25" s="22" t="s">
        <v>24</v>
      </c>
      <c r="L25" s="22">
        <v>1</v>
      </c>
      <c r="M25" s="22"/>
      <c r="N25" s="44"/>
    </row>
    <row r="26" spans="1:14" ht="45.75" thickBot="1" x14ac:dyDescent="0.3">
      <c r="A26" s="57"/>
      <c r="B26" s="60"/>
      <c r="C26" s="60"/>
      <c r="D26" s="20"/>
      <c r="E26" s="20"/>
      <c r="F26" s="21">
        <v>0</v>
      </c>
      <c r="G26" s="21">
        <v>0</v>
      </c>
      <c r="H26" s="21">
        <v>0</v>
      </c>
      <c r="I26" s="21">
        <v>0</v>
      </c>
      <c r="J26" s="20" t="s">
        <v>43</v>
      </c>
      <c r="K26" s="22" t="s">
        <v>20</v>
      </c>
      <c r="L26" s="22">
        <v>20</v>
      </c>
      <c r="M26" s="22">
        <v>100</v>
      </c>
      <c r="N26" s="44">
        <v>0</v>
      </c>
    </row>
    <row r="27" spans="1:14" ht="45" x14ac:dyDescent="0.25">
      <c r="A27" s="55" t="s">
        <v>44</v>
      </c>
      <c r="B27" s="58" t="s">
        <v>45</v>
      </c>
      <c r="C27" s="58" t="s">
        <v>19</v>
      </c>
      <c r="D27" s="17" t="s">
        <v>30</v>
      </c>
      <c r="E27" s="17"/>
      <c r="F27" s="18">
        <f>SUM(F28:F28)+26</f>
        <v>26</v>
      </c>
      <c r="G27" s="18">
        <f>SUM(G28:G28)+10.4</f>
        <v>10.4</v>
      </c>
      <c r="H27" s="18">
        <f>SUM(H28:H28)+5</f>
        <v>5</v>
      </c>
      <c r="I27" s="18">
        <f>SUM(I28:I28)+5</f>
        <v>5</v>
      </c>
      <c r="J27" s="17" t="s">
        <v>46</v>
      </c>
      <c r="K27" s="19" t="s">
        <v>24</v>
      </c>
      <c r="L27" s="19">
        <v>1</v>
      </c>
      <c r="M27" s="19"/>
      <c r="N27" s="43"/>
    </row>
    <row r="28" spans="1:14" ht="15.75" thickBot="1" x14ac:dyDescent="0.3">
      <c r="A28" s="57"/>
      <c r="B28" s="60"/>
      <c r="C28" s="60"/>
      <c r="D28" s="20"/>
      <c r="E28" s="20"/>
      <c r="F28" s="21">
        <v>0</v>
      </c>
      <c r="G28" s="21">
        <v>0</v>
      </c>
      <c r="H28" s="21">
        <v>0</v>
      </c>
      <c r="I28" s="21">
        <v>0</v>
      </c>
      <c r="J28" s="20" t="s">
        <v>47</v>
      </c>
      <c r="K28" s="22" t="s">
        <v>24</v>
      </c>
      <c r="L28" s="22">
        <v>1</v>
      </c>
      <c r="M28" s="22">
        <v>1</v>
      </c>
      <c r="N28" s="44">
        <v>1</v>
      </c>
    </row>
    <row r="29" spans="1:14" ht="30" x14ac:dyDescent="0.25">
      <c r="A29" s="55" t="s">
        <v>48</v>
      </c>
      <c r="B29" s="58" t="s">
        <v>49</v>
      </c>
      <c r="C29" s="58" t="s">
        <v>19</v>
      </c>
      <c r="D29" s="17"/>
      <c r="E29" s="17"/>
      <c r="F29" s="18">
        <f>SUM(F30:F31)</f>
        <v>45</v>
      </c>
      <c r="G29" s="18">
        <f>SUM(G30:G31)</f>
        <v>45</v>
      </c>
      <c r="H29" s="18">
        <f>SUM(H30:H31)</f>
        <v>50</v>
      </c>
      <c r="I29" s="18">
        <f>SUM(I30:I31)</f>
        <v>50</v>
      </c>
      <c r="J29" s="17" t="s">
        <v>50</v>
      </c>
      <c r="K29" s="19" t="s">
        <v>24</v>
      </c>
      <c r="L29" s="19">
        <v>100</v>
      </c>
      <c r="M29" s="19">
        <v>80</v>
      </c>
      <c r="N29" s="43">
        <v>80</v>
      </c>
    </row>
    <row r="30" spans="1:14" x14ac:dyDescent="0.25">
      <c r="A30" s="56"/>
      <c r="B30" s="59"/>
      <c r="C30" s="59"/>
      <c r="D30" s="20" t="s">
        <v>30</v>
      </c>
      <c r="E30" s="20"/>
      <c r="F30" s="21">
        <v>15</v>
      </c>
      <c r="G30" s="21">
        <v>15</v>
      </c>
      <c r="H30" s="21">
        <v>50</v>
      </c>
      <c r="I30" s="21">
        <v>50</v>
      </c>
      <c r="J30" s="20"/>
      <c r="K30" s="22"/>
      <c r="L30" s="22"/>
      <c r="M30" s="22"/>
      <c r="N30" s="44"/>
    </row>
    <row r="31" spans="1:14" ht="15.75" thickBot="1" x14ac:dyDescent="0.3">
      <c r="A31" s="57"/>
      <c r="B31" s="60"/>
      <c r="C31" s="60"/>
      <c r="D31" s="20" t="s">
        <v>35</v>
      </c>
      <c r="E31" s="20"/>
      <c r="F31" s="21">
        <v>30</v>
      </c>
      <c r="G31" s="21">
        <v>30</v>
      </c>
      <c r="H31" s="21">
        <v>0</v>
      </c>
      <c r="I31" s="21">
        <v>0</v>
      </c>
      <c r="J31" s="20"/>
      <c r="K31" s="22"/>
      <c r="L31" s="22"/>
      <c r="M31" s="22"/>
      <c r="N31" s="44"/>
    </row>
    <row r="32" spans="1:14" ht="28.5" customHeight="1" thickBot="1" x14ac:dyDescent="0.3">
      <c r="A32" s="15" t="s">
        <v>51</v>
      </c>
      <c r="B32" s="72" t="s">
        <v>52</v>
      </c>
      <c r="C32" s="73"/>
      <c r="D32" s="73"/>
      <c r="E32" s="74"/>
      <c r="F32" s="16">
        <f>F33+F39+F40</f>
        <v>616</v>
      </c>
      <c r="G32" s="16">
        <f>G33+G39+G40</f>
        <v>729</v>
      </c>
      <c r="H32" s="16">
        <f>H33+H39+H40</f>
        <v>481</v>
      </c>
      <c r="I32" s="16">
        <f>I33+I39+I40</f>
        <v>480</v>
      </c>
      <c r="J32" s="61"/>
      <c r="K32" s="62"/>
      <c r="L32" s="62"/>
      <c r="M32" s="62"/>
      <c r="N32" s="63"/>
    </row>
    <row r="33" spans="1:14" x14ac:dyDescent="0.25">
      <c r="A33" s="55" t="s">
        <v>53</v>
      </c>
      <c r="B33" s="58" t="s">
        <v>54</v>
      </c>
      <c r="C33" s="58" t="s">
        <v>19</v>
      </c>
      <c r="D33" s="17" t="s">
        <v>30</v>
      </c>
      <c r="E33" s="17"/>
      <c r="F33" s="18">
        <f>SUM(F34:F38)+200</f>
        <v>200</v>
      </c>
      <c r="G33" s="18">
        <f>SUM(G34:G38)+25.6</f>
        <v>25.6</v>
      </c>
      <c r="H33" s="18">
        <f>SUM(H34:H38)+10</f>
        <v>10</v>
      </c>
      <c r="I33" s="18">
        <f>SUM(I34:I38)+10</f>
        <v>10</v>
      </c>
      <c r="J33" s="17" t="s">
        <v>55</v>
      </c>
      <c r="K33" s="19" t="s">
        <v>20</v>
      </c>
      <c r="L33" s="19">
        <v>100</v>
      </c>
      <c r="M33" s="19"/>
      <c r="N33" s="43"/>
    </row>
    <row r="34" spans="1:14" ht="30" x14ac:dyDescent="0.25">
      <c r="A34" s="56"/>
      <c r="B34" s="59"/>
      <c r="C34" s="59"/>
      <c r="D34" s="20"/>
      <c r="E34" s="20"/>
      <c r="F34" s="21">
        <v>0</v>
      </c>
      <c r="G34" s="21">
        <v>0</v>
      </c>
      <c r="H34" s="21">
        <v>0</v>
      </c>
      <c r="I34" s="21">
        <v>0</v>
      </c>
      <c r="J34" s="20" t="s">
        <v>56</v>
      </c>
      <c r="K34" s="22" t="s">
        <v>24</v>
      </c>
      <c r="L34" s="22">
        <v>1</v>
      </c>
      <c r="M34" s="22"/>
      <c r="N34" s="44"/>
    </row>
    <row r="35" spans="1:14" ht="30" x14ac:dyDescent="0.25">
      <c r="A35" s="56"/>
      <c r="B35" s="59"/>
      <c r="C35" s="59"/>
      <c r="D35" s="20"/>
      <c r="E35" s="20"/>
      <c r="F35" s="21">
        <v>0</v>
      </c>
      <c r="G35" s="21">
        <v>0</v>
      </c>
      <c r="H35" s="21">
        <v>0</v>
      </c>
      <c r="I35" s="21">
        <v>0</v>
      </c>
      <c r="J35" s="20" t="s">
        <v>57</v>
      </c>
      <c r="K35" s="22" t="s">
        <v>24</v>
      </c>
      <c r="L35" s="22">
        <v>1</v>
      </c>
      <c r="M35" s="22"/>
      <c r="N35" s="44"/>
    </row>
    <row r="36" spans="1:14" ht="30" x14ac:dyDescent="0.25">
      <c r="A36" s="56"/>
      <c r="B36" s="59"/>
      <c r="C36" s="59"/>
      <c r="D36" s="20"/>
      <c r="E36" s="20"/>
      <c r="F36" s="21">
        <v>0</v>
      </c>
      <c r="G36" s="21">
        <v>0</v>
      </c>
      <c r="H36" s="21">
        <v>0</v>
      </c>
      <c r="I36" s="21">
        <v>0</v>
      </c>
      <c r="J36" s="20" t="s">
        <v>58</v>
      </c>
      <c r="K36" s="22" t="s">
        <v>20</v>
      </c>
      <c r="L36" s="22">
        <v>100</v>
      </c>
      <c r="M36" s="22"/>
      <c r="N36" s="44"/>
    </row>
    <row r="37" spans="1:14" ht="75" x14ac:dyDescent="0.25">
      <c r="A37" s="56"/>
      <c r="B37" s="59"/>
      <c r="C37" s="59"/>
      <c r="D37" s="20"/>
      <c r="E37" s="20"/>
      <c r="F37" s="21">
        <v>0</v>
      </c>
      <c r="G37" s="21">
        <v>0</v>
      </c>
      <c r="H37" s="21">
        <v>0</v>
      </c>
      <c r="I37" s="21">
        <v>0</v>
      </c>
      <c r="J37" s="20" t="s">
        <v>59</v>
      </c>
      <c r="K37" s="22" t="s">
        <v>24</v>
      </c>
      <c r="L37" s="22">
        <v>1</v>
      </c>
      <c r="M37" s="22"/>
      <c r="N37" s="44"/>
    </row>
    <row r="38" spans="1:14" ht="30.75" thickBot="1" x14ac:dyDescent="0.3">
      <c r="A38" s="57"/>
      <c r="B38" s="60"/>
      <c r="C38" s="60"/>
      <c r="D38" s="20"/>
      <c r="E38" s="20"/>
      <c r="F38" s="21">
        <v>0</v>
      </c>
      <c r="G38" s="21">
        <v>0</v>
      </c>
      <c r="H38" s="21">
        <v>0</v>
      </c>
      <c r="I38" s="21">
        <v>0</v>
      </c>
      <c r="J38" s="20" t="s">
        <v>60</v>
      </c>
      <c r="K38" s="22" t="s">
        <v>24</v>
      </c>
      <c r="L38" s="22"/>
      <c r="M38" s="22">
        <v>1</v>
      </c>
      <c r="N38" s="44">
        <v>1</v>
      </c>
    </row>
    <row r="39" spans="1:14" ht="66.75" customHeight="1" thickBot="1" x14ac:dyDescent="0.3">
      <c r="A39" s="23" t="s">
        <v>61</v>
      </c>
      <c r="B39" s="24" t="s">
        <v>62</v>
      </c>
      <c r="C39" s="17" t="s">
        <v>19</v>
      </c>
      <c r="D39" s="17" t="s">
        <v>30</v>
      </c>
      <c r="E39" s="17"/>
      <c r="F39" s="25">
        <v>1</v>
      </c>
      <c r="G39" s="25">
        <v>1</v>
      </c>
      <c r="H39" s="25">
        <v>1</v>
      </c>
      <c r="I39" s="25">
        <v>0</v>
      </c>
      <c r="J39" s="17" t="s">
        <v>63</v>
      </c>
      <c r="K39" s="19" t="s">
        <v>24</v>
      </c>
      <c r="L39" s="19">
        <v>1</v>
      </c>
      <c r="M39" s="19">
        <v>1</v>
      </c>
      <c r="N39" s="43">
        <v>0</v>
      </c>
    </row>
    <row r="40" spans="1:14" ht="30" x14ac:dyDescent="0.25">
      <c r="A40" s="55" t="s">
        <v>64</v>
      </c>
      <c r="B40" s="58" t="s">
        <v>65</v>
      </c>
      <c r="C40" s="58" t="s">
        <v>66</v>
      </c>
      <c r="D40" s="17" t="s">
        <v>30</v>
      </c>
      <c r="E40" s="17"/>
      <c r="F40" s="18">
        <f>SUM(F41:F42)+415</f>
        <v>415</v>
      </c>
      <c r="G40" s="18">
        <f>SUM(G41:G42)+702.4</f>
        <v>702.4</v>
      </c>
      <c r="H40" s="18">
        <f>SUM(H41:H42)+470</f>
        <v>470</v>
      </c>
      <c r="I40" s="18">
        <f>SUM(I41:I42)+470</f>
        <v>470</v>
      </c>
      <c r="J40" s="17" t="s">
        <v>67</v>
      </c>
      <c r="K40" s="19" t="s">
        <v>24</v>
      </c>
      <c r="L40" s="19">
        <v>5</v>
      </c>
      <c r="M40" s="19">
        <v>5</v>
      </c>
      <c r="N40" s="43">
        <v>5</v>
      </c>
    </row>
    <row r="41" spans="1:14" ht="30" x14ac:dyDescent="0.25">
      <c r="A41" s="56"/>
      <c r="B41" s="59"/>
      <c r="C41" s="59"/>
      <c r="D41" s="20"/>
      <c r="E41" s="20"/>
      <c r="F41" s="21">
        <v>0</v>
      </c>
      <c r="G41" s="21">
        <v>0</v>
      </c>
      <c r="H41" s="21">
        <v>0</v>
      </c>
      <c r="I41" s="21">
        <v>0</v>
      </c>
      <c r="J41" s="20" t="s">
        <v>68</v>
      </c>
      <c r="K41" s="22" t="s">
        <v>20</v>
      </c>
      <c r="L41" s="22">
        <v>100</v>
      </c>
      <c r="M41" s="22">
        <v>100</v>
      </c>
      <c r="N41" s="44">
        <v>100</v>
      </c>
    </row>
    <row r="42" spans="1:14" ht="30.75" thickBot="1" x14ac:dyDescent="0.3">
      <c r="A42" s="57"/>
      <c r="B42" s="60"/>
      <c r="C42" s="60"/>
      <c r="D42" s="20"/>
      <c r="E42" s="20"/>
      <c r="F42" s="21">
        <v>0</v>
      </c>
      <c r="G42" s="21">
        <v>0</v>
      </c>
      <c r="H42" s="21">
        <v>0</v>
      </c>
      <c r="I42" s="21">
        <v>0</v>
      </c>
      <c r="J42" s="20" t="s">
        <v>69</v>
      </c>
      <c r="K42" s="22" t="s">
        <v>24</v>
      </c>
      <c r="L42" s="22">
        <v>10</v>
      </c>
      <c r="M42" s="22">
        <v>10</v>
      </c>
      <c r="N42" s="44">
        <v>10</v>
      </c>
    </row>
    <row r="43" spans="1:14" ht="26.25" customHeight="1" thickBot="1" x14ac:dyDescent="0.3">
      <c r="A43" s="15" t="s">
        <v>70</v>
      </c>
      <c r="B43" s="72" t="s">
        <v>71</v>
      </c>
      <c r="C43" s="73"/>
      <c r="D43" s="73"/>
      <c r="E43" s="74"/>
      <c r="F43" s="16">
        <f>F44+F48</f>
        <v>140</v>
      </c>
      <c r="G43" s="16">
        <f>G44+G48</f>
        <v>140</v>
      </c>
      <c r="H43" s="16">
        <f>H44+H48</f>
        <v>35</v>
      </c>
      <c r="I43" s="16">
        <f>I44+I48</f>
        <v>35</v>
      </c>
      <c r="J43" s="61"/>
      <c r="K43" s="62"/>
      <c r="L43" s="62"/>
      <c r="M43" s="62"/>
      <c r="N43" s="63"/>
    </row>
    <row r="44" spans="1:14" x14ac:dyDescent="0.25">
      <c r="A44" s="55" t="s">
        <v>72</v>
      </c>
      <c r="B44" s="58" t="s">
        <v>73</v>
      </c>
      <c r="C44" s="58" t="s">
        <v>19</v>
      </c>
      <c r="D44" s="17" t="s">
        <v>30</v>
      </c>
      <c r="E44" s="17"/>
      <c r="F44" s="18">
        <f>SUM(F45:F47)+130</f>
        <v>130</v>
      </c>
      <c r="G44" s="18">
        <f>SUM(G45:G47)+130</f>
        <v>130</v>
      </c>
      <c r="H44" s="18">
        <f>SUM(H45:H47)+30</f>
        <v>30</v>
      </c>
      <c r="I44" s="18">
        <f>SUM(I45:I47)+30</f>
        <v>30</v>
      </c>
      <c r="J44" s="17" t="s">
        <v>74</v>
      </c>
      <c r="K44" s="19" t="s">
        <v>24</v>
      </c>
      <c r="L44" s="19">
        <v>1</v>
      </c>
      <c r="M44" s="19">
        <v>1</v>
      </c>
      <c r="N44" s="43">
        <v>1</v>
      </c>
    </row>
    <row r="45" spans="1:14" ht="78" customHeight="1" x14ac:dyDescent="0.25">
      <c r="A45" s="56"/>
      <c r="B45" s="59"/>
      <c r="C45" s="59"/>
      <c r="D45" s="20"/>
      <c r="E45" s="20"/>
      <c r="F45" s="21">
        <v>0</v>
      </c>
      <c r="G45" s="21">
        <v>0</v>
      </c>
      <c r="H45" s="21">
        <v>0</v>
      </c>
      <c r="I45" s="21">
        <v>0</v>
      </c>
      <c r="J45" s="20" t="s">
        <v>75</v>
      </c>
      <c r="K45" s="22" t="s">
        <v>24</v>
      </c>
      <c r="L45" s="22">
        <v>1</v>
      </c>
      <c r="M45" s="22"/>
      <c r="N45" s="44"/>
    </row>
    <row r="46" spans="1:14" ht="45" x14ac:dyDescent="0.25">
      <c r="A46" s="56"/>
      <c r="B46" s="59"/>
      <c r="C46" s="59"/>
      <c r="D46" s="20"/>
      <c r="E46" s="20"/>
      <c r="F46" s="21">
        <v>0</v>
      </c>
      <c r="G46" s="21">
        <v>0</v>
      </c>
      <c r="H46" s="21">
        <v>0</v>
      </c>
      <c r="I46" s="21">
        <v>0</v>
      </c>
      <c r="J46" s="20" t="s">
        <v>76</v>
      </c>
      <c r="K46" s="22" t="s">
        <v>24</v>
      </c>
      <c r="L46" s="22">
        <v>1</v>
      </c>
      <c r="M46" s="22"/>
      <c r="N46" s="44"/>
    </row>
    <row r="47" spans="1:14" ht="29.25" customHeight="1" thickBot="1" x14ac:dyDescent="0.3">
      <c r="A47" s="57"/>
      <c r="B47" s="60"/>
      <c r="C47" s="60"/>
      <c r="D47" s="20"/>
      <c r="E47" s="20"/>
      <c r="F47" s="21">
        <v>0</v>
      </c>
      <c r="G47" s="21">
        <v>0</v>
      </c>
      <c r="H47" s="21">
        <v>0</v>
      </c>
      <c r="I47" s="21">
        <v>0</v>
      </c>
      <c r="J47" s="20" t="s">
        <v>77</v>
      </c>
      <c r="K47" s="22" t="s">
        <v>24</v>
      </c>
      <c r="L47" s="22">
        <v>1</v>
      </c>
      <c r="M47" s="22"/>
      <c r="N47" s="44"/>
    </row>
    <row r="48" spans="1:14" ht="29.25" customHeight="1" thickBot="1" x14ac:dyDescent="0.3">
      <c r="A48" s="23" t="s">
        <v>78</v>
      </c>
      <c r="B48" s="24" t="s">
        <v>79</v>
      </c>
      <c r="C48" s="17" t="s">
        <v>19</v>
      </c>
      <c r="D48" s="17" t="s">
        <v>30</v>
      </c>
      <c r="E48" s="17"/>
      <c r="F48" s="25">
        <v>10</v>
      </c>
      <c r="G48" s="25">
        <v>10</v>
      </c>
      <c r="H48" s="25">
        <v>5</v>
      </c>
      <c r="I48" s="25">
        <v>5</v>
      </c>
      <c r="J48" s="17" t="s">
        <v>80</v>
      </c>
      <c r="K48" s="19" t="s">
        <v>24</v>
      </c>
      <c r="L48" s="19">
        <v>2</v>
      </c>
      <c r="M48" s="19">
        <v>1</v>
      </c>
      <c r="N48" s="43">
        <v>1</v>
      </c>
    </row>
    <row r="49" spans="1:14" ht="26.25" customHeight="1" thickBot="1" x14ac:dyDescent="0.3">
      <c r="A49" s="15" t="s">
        <v>81</v>
      </c>
      <c r="B49" s="72" t="s">
        <v>82</v>
      </c>
      <c r="C49" s="73"/>
      <c r="D49" s="73"/>
      <c r="E49" s="74"/>
      <c r="F49" s="16">
        <f>SUM(F50:F51)</f>
        <v>23</v>
      </c>
      <c r="G49" s="16">
        <f>SUM(G50:G51)</f>
        <v>23</v>
      </c>
      <c r="H49" s="16">
        <f>SUM(H50:H51)</f>
        <v>23</v>
      </c>
      <c r="I49" s="16">
        <f>SUM(I50:I51)</f>
        <v>28</v>
      </c>
      <c r="J49" s="61"/>
      <c r="K49" s="62"/>
      <c r="L49" s="62"/>
      <c r="M49" s="62"/>
      <c r="N49" s="63"/>
    </row>
    <row r="50" spans="1:14" ht="60.75" thickBot="1" x14ac:dyDescent="0.3">
      <c r="A50" s="23" t="s">
        <v>83</v>
      </c>
      <c r="B50" s="24" t="s">
        <v>84</v>
      </c>
      <c r="C50" s="17" t="s">
        <v>19</v>
      </c>
      <c r="D50" s="17" t="s">
        <v>30</v>
      </c>
      <c r="E50" s="17"/>
      <c r="F50" s="25">
        <v>13</v>
      </c>
      <c r="G50" s="25">
        <v>13</v>
      </c>
      <c r="H50" s="25">
        <v>13</v>
      </c>
      <c r="I50" s="25">
        <v>13</v>
      </c>
      <c r="J50" s="17" t="s">
        <v>85</v>
      </c>
      <c r="K50" s="19" t="s">
        <v>24</v>
      </c>
      <c r="L50" s="19">
        <v>2</v>
      </c>
      <c r="M50" s="19">
        <v>2</v>
      </c>
      <c r="N50" s="43">
        <v>2</v>
      </c>
    </row>
    <row r="51" spans="1:14" ht="45.75" thickBot="1" x14ac:dyDescent="0.3">
      <c r="A51" s="23" t="s">
        <v>86</v>
      </c>
      <c r="B51" s="24" t="s">
        <v>87</v>
      </c>
      <c r="C51" s="17" t="s">
        <v>19</v>
      </c>
      <c r="D51" s="17" t="s">
        <v>30</v>
      </c>
      <c r="E51" s="17"/>
      <c r="F51" s="25">
        <v>10</v>
      </c>
      <c r="G51" s="25">
        <v>10</v>
      </c>
      <c r="H51" s="25">
        <v>10</v>
      </c>
      <c r="I51" s="25">
        <v>15</v>
      </c>
      <c r="J51" s="17" t="s">
        <v>88</v>
      </c>
      <c r="K51" s="19" t="s">
        <v>24</v>
      </c>
      <c r="L51" s="19">
        <v>6</v>
      </c>
      <c r="M51" s="19">
        <v>6</v>
      </c>
      <c r="N51" s="43">
        <v>6</v>
      </c>
    </row>
    <row r="52" spans="1:14" ht="26.25" customHeight="1" thickBot="1" x14ac:dyDescent="0.3">
      <c r="A52" s="8" t="s">
        <v>89</v>
      </c>
      <c r="B52" s="9" t="s">
        <v>90</v>
      </c>
      <c r="C52" s="87" t="s">
        <v>91</v>
      </c>
      <c r="D52" s="88"/>
      <c r="E52" s="89"/>
      <c r="F52" s="10">
        <f>F53+F93</f>
        <v>10671.9</v>
      </c>
      <c r="G52" s="10">
        <f>G53+G93</f>
        <v>11177.6</v>
      </c>
      <c r="H52" s="10">
        <f>H53+H93</f>
        <v>6237.0999999999995</v>
      </c>
      <c r="I52" s="10">
        <f>I53+I93</f>
        <v>6279.2</v>
      </c>
      <c r="J52" s="90"/>
      <c r="K52" s="91"/>
      <c r="L52" s="91"/>
      <c r="M52" s="91"/>
      <c r="N52" s="92"/>
    </row>
    <row r="53" spans="1:14" ht="28.5" customHeight="1" x14ac:dyDescent="0.25">
      <c r="A53" s="64" t="s">
        <v>92</v>
      </c>
      <c r="B53" s="66" t="s">
        <v>93</v>
      </c>
      <c r="C53" s="67"/>
      <c r="D53" s="67"/>
      <c r="E53" s="68"/>
      <c r="F53" s="12">
        <f>F54+F55+F56+F63</f>
        <v>10215.1</v>
      </c>
      <c r="G53" s="12">
        <f>G54+G55+G56+G63</f>
        <v>10718.6</v>
      </c>
      <c r="H53" s="12">
        <f>H54+H55+H56+H63</f>
        <v>6053.0999999999995</v>
      </c>
      <c r="I53" s="12">
        <f>I54+I55+I56+I63</f>
        <v>6078</v>
      </c>
      <c r="J53" s="13" t="s">
        <v>94</v>
      </c>
      <c r="K53" s="14" t="s">
        <v>20</v>
      </c>
      <c r="L53" s="14">
        <v>3</v>
      </c>
      <c r="M53" s="14">
        <v>3</v>
      </c>
      <c r="N53" s="42">
        <v>3</v>
      </c>
    </row>
    <row r="54" spans="1:14" x14ac:dyDescent="0.25">
      <c r="A54" s="96"/>
      <c r="B54" s="97"/>
      <c r="C54" s="98"/>
      <c r="D54" s="98"/>
      <c r="E54" s="99"/>
      <c r="F54" s="26">
        <v>0</v>
      </c>
      <c r="G54" s="26">
        <v>0</v>
      </c>
      <c r="H54" s="26">
        <v>0</v>
      </c>
      <c r="I54" s="26">
        <v>0</v>
      </c>
      <c r="J54" s="27" t="s">
        <v>95</v>
      </c>
      <c r="K54" s="28" t="s">
        <v>20</v>
      </c>
      <c r="L54" s="28">
        <v>3</v>
      </c>
      <c r="M54" s="28">
        <v>3</v>
      </c>
      <c r="N54" s="45">
        <v>3</v>
      </c>
    </row>
    <row r="55" spans="1:14" ht="15.75" thickBot="1" x14ac:dyDescent="0.3">
      <c r="A55" s="65"/>
      <c r="B55" s="69"/>
      <c r="C55" s="70"/>
      <c r="D55" s="70"/>
      <c r="E55" s="71"/>
      <c r="F55" s="26">
        <v>0</v>
      </c>
      <c r="G55" s="26">
        <v>0</v>
      </c>
      <c r="H55" s="26">
        <v>0</v>
      </c>
      <c r="I55" s="26">
        <v>0</v>
      </c>
      <c r="J55" s="27" t="s">
        <v>96</v>
      </c>
      <c r="K55" s="28" t="s">
        <v>24</v>
      </c>
      <c r="L55" s="28">
        <v>5</v>
      </c>
      <c r="M55" s="28"/>
      <c r="N55" s="45"/>
    </row>
    <row r="56" spans="1:14" ht="30.75" customHeight="1" thickBot="1" x14ac:dyDescent="0.3">
      <c r="A56" s="15" t="s">
        <v>97</v>
      </c>
      <c r="B56" s="72" t="s">
        <v>98</v>
      </c>
      <c r="C56" s="73"/>
      <c r="D56" s="73"/>
      <c r="E56" s="74"/>
      <c r="F56" s="16">
        <f>SUM(F57:F60)</f>
        <v>771.5</v>
      </c>
      <c r="G56" s="16">
        <f>SUM(G57:G60)</f>
        <v>771.5</v>
      </c>
      <c r="H56" s="16">
        <f>SUM(H57:H60)</f>
        <v>642</v>
      </c>
      <c r="I56" s="16">
        <f>SUM(I57:I60)</f>
        <v>642</v>
      </c>
      <c r="J56" s="61"/>
      <c r="K56" s="62"/>
      <c r="L56" s="62"/>
      <c r="M56" s="62"/>
      <c r="N56" s="63"/>
    </row>
    <row r="57" spans="1:14" ht="45.75" thickBot="1" x14ac:dyDescent="0.3">
      <c r="A57" s="23" t="s">
        <v>99</v>
      </c>
      <c r="B57" s="24" t="s">
        <v>100</v>
      </c>
      <c r="C57" s="17" t="s">
        <v>91</v>
      </c>
      <c r="D57" s="17" t="s">
        <v>30</v>
      </c>
      <c r="E57" s="17"/>
      <c r="F57" s="25">
        <v>60</v>
      </c>
      <c r="G57" s="25">
        <v>60</v>
      </c>
      <c r="H57" s="25">
        <v>60</v>
      </c>
      <c r="I57" s="25">
        <v>60</v>
      </c>
      <c r="J57" s="17" t="s">
        <v>101</v>
      </c>
      <c r="K57" s="19" t="s">
        <v>24</v>
      </c>
      <c r="L57" s="19">
        <v>35</v>
      </c>
      <c r="M57" s="19">
        <v>35</v>
      </c>
      <c r="N57" s="43">
        <v>35</v>
      </c>
    </row>
    <row r="58" spans="1:14" x14ac:dyDescent="0.25">
      <c r="A58" s="23" t="s">
        <v>102</v>
      </c>
      <c r="B58" s="24" t="s">
        <v>103</v>
      </c>
      <c r="C58" s="17" t="s">
        <v>91</v>
      </c>
      <c r="D58" s="17" t="s">
        <v>30</v>
      </c>
      <c r="E58" s="17"/>
      <c r="F58" s="25">
        <v>26.2</v>
      </c>
      <c r="G58" s="25">
        <v>26.2</v>
      </c>
      <c r="H58" s="25">
        <v>26.2</v>
      </c>
      <c r="I58" s="25">
        <v>26.2</v>
      </c>
      <c r="J58" s="17" t="s">
        <v>104</v>
      </c>
      <c r="K58" s="19" t="s">
        <v>24</v>
      </c>
      <c r="L58" s="19">
        <v>11</v>
      </c>
      <c r="M58" s="19">
        <v>11</v>
      </c>
      <c r="N58" s="43">
        <v>11</v>
      </c>
    </row>
    <row r="59" spans="1:14" ht="75.75" thickBot="1" x14ac:dyDescent="0.3">
      <c r="A59" s="23" t="s">
        <v>105</v>
      </c>
      <c r="B59" s="24" t="s">
        <v>106</v>
      </c>
      <c r="C59" s="17" t="s">
        <v>91</v>
      </c>
      <c r="D59" s="17" t="s">
        <v>30</v>
      </c>
      <c r="E59" s="17"/>
      <c r="F59" s="25">
        <v>379.5</v>
      </c>
      <c r="G59" s="25">
        <v>379.5</v>
      </c>
      <c r="H59" s="25">
        <v>250</v>
      </c>
      <c r="I59" s="25">
        <v>250</v>
      </c>
      <c r="J59" s="17" t="s">
        <v>107</v>
      </c>
      <c r="K59" s="19" t="s">
        <v>24</v>
      </c>
      <c r="L59" s="19">
        <v>7</v>
      </c>
      <c r="M59" s="19">
        <v>7</v>
      </c>
      <c r="N59" s="43">
        <v>7</v>
      </c>
    </row>
    <row r="60" spans="1:14" ht="30" x14ac:dyDescent="0.25">
      <c r="A60" s="55" t="s">
        <v>108</v>
      </c>
      <c r="B60" s="58" t="s">
        <v>109</v>
      </c>
      <c r="C60" s="58" t="s">
        <v>91</v>
      </c>
      <c r="D60" s="17" t="s">
        <v>30</v>
      </c>
      <c r="E60" s="17"/>
      <c r="F60" s="18">
        <f>SUM(F61:F62)+305.8</f>
        <v>305.8</v>
      </c>
      <c r="G60" s="18">
        <f>SUM(G61:G62)+305.8</f>
        <v>305.8</v>
      </c>
      <c r="H60" s="18">
        <f>SUM(H61:H62)+305.8</f>
        <v>305.8</v>
      </c>
      <c r="I60" s="18">
        <f>SUM(I61:I62)+305.8</f>
        <v>305.8</v>
      </c>
      <c r="J60" s="17" t="s">
        <v>110</v>
      </c>
      <c r="K60" s="19" t="s">
        <v>24</v>
      </c>
      <c r="L60" s="19">
        <v>14</v>
      </c>
      <c r="M60" s="19">
        <v>14</v>
      </c>
      <c r="N60" s="43">
        <v>14</v>
      </c>
    </row>
    <row r="61" spans="1:14" ht="39.75" customHeight="1" x14ac:dyDescent="0.25">
      <c r="A61" s="56"/>
      <c r="B61" s="59"/>
      <c r="C61" s="59"/>
      <c r="D61" s="20"/>
      <c r="E61" s="20"/>
      <c r="F61" s="21">
        <v>0</v>
      </c>
      <c r="G61" s="21">
        <v>0</v>
      </c>
      <c r="H61" s="21">
        <v>0</v>
      </c>
      <c r="I61" s="21">
        <v>0</v>
      </c>
      <c r="J61" s="20" t="s">
        <v>111</v>
      </c>
      <c r="K61" s="22" t="s">
        <v>24</v>
      </c>
      <c r="L61" s="22">
        <v>30</v>
      </c>
      <c r="M61" s="22">
        <v>30</v>
      </c>
      <c r="N61" s="44">
        <v>30</v>
      </c>
    </row>
    <row r="62" spans="1:14" ht="15.75" thickBot="1" x14ac:dyDescent="0.3">
      <c r="A62" s="57"/>
      <c r="B62" s="60"/>
      <c r="C62" s="60"/>
      <c r="D62" s="20"/>
      <c r="E62" s="20"/>
      <c r="F62" s="21">
        <v>0</v>
      </c>
      <c r="G62" s="21">
        <v>0</v>
      </c>
      <c r="H62" s="21">
        <v>0</v>
      </c>
      <c r="I62" s="21">
        <v>0</v>
      </c>
      <c r="J62" s="20" t="s">
        <v>112</v>
      </c>
      <c r="K62" s="22" t="s">
        <v>24</v>
      </c>
      <c r="L62" s="22">
        <v>3</v>
      </c>
      <c r="M62" s="22">
        <v>2</v>
      </c>
      <c r="N62" s="44">
        <v>2</v>
      </c>
    </row>
    <row r="63" spans="1:14" ht="28.5" customHeight="1" thickBot="1" x14ac:dyDescent="0.3">
      <c r="A63" s="15" t="s">
        <v>113</v>
      </c>
      <c r="B63" s="72" t="s">
        <v>114</v>
      </c>
      <c r="C63" s="73"/>
      <c r="D63" s="73"/>
      <c r="E63" s="74"/>
      <c r="F63" s="16">
        <f>F64+F74+F76+F80+F85+F88+F92</f>
        <v>9443.6</v>
      </c>
      <c r="G63" s="16">
        <f>G64+G74+G76+G80+G85+G88+G92</f>
        <v>9947.1</v>
      </c>
      <c r="H63" s="16">
        <f>H64+H74+H76+H80+H85+H88+H92</f>
        <v>5411.0999999999995</v>
      </c>
      <c r="I63" s="16">
        <f>I64+I74+I76+I80+I85+I88+I92</f>
        <v>5436</v>
      </c>
      <c r="J63" s="61"/>
      <c r="K63" s="62"/>
      <c r="L63" s="62"/>
      <c r="M63" s="62"/>
      <c r="N63" s="63"/>
    </row>
    <row r="64" spans="1:14" x14ac:dyDescent="0.25">
      <c r="A64" s="55" t="s">
        <v>115</v>
      </c>
      <c r="B64" s="58" t="s">
        <v>116</v>
      </c>
      <c r="C64" s="58" t="s">
        <v>91</v>
      </c>
      <c r="D64" s="17"/>
      <c r="E64" s="17"/>
      <c r="F64" s="18">
        <f>SUM(F65:F73)</f>
        <v>5642.9</v>
      </c>
      <c r="G64" s="18">
        <f>SUM(G65:G73)</f>
        <v>5727.2</v>
      </c>
      <c r="H64" s="18">
        <f>SUM(H65:H73)</f>
        <v>5411.0999999999995</v>
      </c>
      <c r="I64" s="18">
        <f>SUM(I65:I73)</f>
        <v>5436</v>
      </c>
      <c r="J64" s="17" t="s">
        <v>117</v>
      </c>
      <c r="K64" s="19" t="s">
        <v>24</v>
      </c>
      <c r="L64" s="19">
        <v>64</v>
      </c>
      <c r="M64" s="19">
        <v>64</v>
      </c>
      <c r="N64" s="43">
        <v>64</v>
      </c>
    </row>
    <row r="65" spans="1:14" x14ac:dyDescent="0.25">
      <c r="A65" s="56"/>
      <c r="B65" s="59"/>
      <c r="C65" s="59"/>
      <c r="D65" s="20" t="s">
        <v>35</v>
      </c>
      <c r="E65" s="20"/>
      <c r="F65" s="21">
        <v>239.4</v>
      </c>
      <c r="G65" s="21">
        <v>239.4</v>
      </c>
      <c r="H65" s="21">
        <v>0</v>
      </c>
      <c r="I65" s="21">
        <v>0</v>
      </c>
      <c r="J65" s="20" t="s">
        <v>118</v>
      </c>
      <c r="K65" s="22" t="s">
        <v>24</v>
      </c>
      <c r="L65" s="22">
        <v>703</v>
      </c>
      <c r="M65" s="22">
        <v>790</v>
      </c>
      <c r="N65" s="44">
        <v>808</v>
      </c>
    </row>
    <row r="66" spans="1:14" x14ac:dyDescent="0.25">
      <c r="A66" s="56"/>
      <c r="B66" s="59"/>
      <c r="C66" s="59"/>
      <c r="D66" s="20" t="s">
        <v>119</v>
      </c>
      <c r="E66" s="20"/>
      <c r="F66" s="21">
        <v>14.6</v>
      </c>
      <c r="G66" s="21">
        <v>14.6</v>
      </c>
      <c r="H66" s="21">
        <v>14.6</v>
      </c>
      <c r="I66" s="21">
        <v>14.6</v>
      </c>
      <c r="J66" s="20" t="s">
        <v>120</v>
      </c>
      <c r="K66" s="22" t="s">
        <v>24</v>
      </c>
      <c r="L66" s="22">
        <v>26</v>
      </c>
      <c r="M66" s="22">
        <v>26</v>
      </c>
      <c r="N66" s="44">
        <v>27</v>
      </c>
    </row>
    <row r="67" spans="1:14" ht="30" x14ac:dyDescent="0.25">
      <c r="A67" s="56"/>
      <c r="B67" s="59"/>
      <c r="C67" s="59"/>
      <c r="D67" s="20" t="s">
        <v>121</v>
      </c>
      <c r="E67" s="20"/>
      <c r="F67" s="21">
        <v>38.4</v>
      </c>
      <c r="G67" s="21">
        <v>38.4</v>
      </c>
      <c r="H67" s="21">
        <v>38.4</v>
      </c>
      <c r="I67" s="21">
        <v>38.4</v>
      </c>
      <c r="J67" s="20" t="s">
        <v>122</v>
      </c>
      <c r="K67" s="22" t="s">
        <v>24</v>
      </c>
      <c r="L67" s="46">
        <v>12700</v>
      </c>
      <c r="M67" s="46">
        <v>13100</v>
      </c>
      <c r="N67" s="47">
        <v>13500</v>
      </c>
    </row>
    <row r="68" spans="1:14" x14ac:dyDescent="0.25">
      <c r="A68" s="56"/>
      <c r="B68" s="59"/>
      <c r="C68" s="59"/>
      <c r="D68" s="20" t="s">
        <v>123</v>
      </c>
      <c r="E68" s="20"/>
      <c r="F68" s="21">
        <v>151.80000000000001</v>
      </c>
      <c r="G68" s="21">
        <v>198.3</v>
      </c>
      <c r="H68" s="21">
        <v>146.4</v>
      </c>
      <c r="I68" s="21">
        <v>158.19999999999999</v>
      </c>
      <c r="J68" s="20" t="s">
        <v>124</v>
      </c>
      <c r="K68" s="22" t="s">
        <v>24</v>
      </c>
      <c r="L68" s="22">
        <v>609</v>
      </c>
      <c r="M68" s="22">
        <v>656</v>
      </c>
      <c r="N68" s="44">
        <v>696</v>
      </c>
    </row>
    <row r="69" spans="1:14" x14ac:dyDescent="0.25">
      <c r="A69" s="56"/>
      <c r="B69" s="59"/>
      <c r="C69" s="59"/>
      <c r="D69" s="20" t="s">
        <v>125</v>
      </c>
      <c r="E69" s="20"/>
      <c r="F69" s="21">
        <v>150</v>
      </c>
      <c r="G69" s="21">
        <v>166</v>
      </c>
      <c r="H69" s="21">
        <v>152</v>
      </c>
      <c r="I69" s="21">
        <v>153.5</v>
      </c>
      <c r="J69" s="20" t="s">
        <v>126</v>
      </c>
      <c r="K69" s="22" t="s">
        <v>24</v>
      </c>
      <c r="L69" s="22">
        <v>200</v>
      </c>
      <c r="M69" s="22">
        <v>210</v>
      </c>
      <c r="N69" s="44">
        <v>220</v>
      </c>
    </row>
    <row r="70" spans="1:14" ht="53.25" customHeight="1" x14ac:dyDescent="0.25">
      <c r="A70" s="56"/>
      <c r="B70" s="59"/>
      <c r="C70" s="59"/>
      <c r="D70" s="20" t="s">
        <v>30</v>
      </c>
      <c r="E70" s="20"/>
      <c r="F70" s="21">
        <v>4902.2</v>
      </c>
      <c r="G70" s="21">
        <v>4849.6000000000004</v>
      </c>
      <c r="H70" s="21">
        <v>4902.2</v>
      </c>
      <c r="I70" s="21">
        <v>4902.2</v>
      </c>
      <c r="J70" s="20" t="s">
        <v>127</v>
      </c>
      <c r="K70" s="22" t="s">
        <v>24</v>
      </c>
      <c r="L70" s="46">
        <v>356810</v>
      </c>
      <c r="M70" s="46">
        <v>406060</v>
      </c>
      <c r="N70" s="47">
        <v>411140</v>
      </c>
    </row>
    <row r="71" spans="1:14" ht="45" x14ac:dyDescent="0.25">
      <c r="A71" s="56"/>
      <c r="B71" s="59"/>
      <c r="C71" s="59"/>
      <c r="D71" s="20" t="s">
        <v>128</v>
      </c>
      <c r="E71" s="20"/>
      <c r="F71" s="21">
        <v>146.5</v>
      </c>
      <c r="G71" s="21">
        <v>220.9</v>
      </c>
      <c r="H71" s="21">
        <v>157.5</v>
      </c>
      <c r="I71" s="21">
        <v>169.1</v>
      </c>
      <c r="J71" s="20" t="s">
        <v>129</v>
      </c>
      <c r="K71" s="22" t="s">
        <v>24</v>
      </c>
      <c r="L71" s="46">
        <v>18655</v>
      </c>
      <c r="M71" s="46">
        <v>20637</v>
      </c>
      <c r="N71" s="47">
        <v>21040</v>
      </c>
    </row>
    <row r="72" spans="1:14" x14ac:dyDescent="0.25">
      <c r="A72" s="56"/>
      <c r="B72" s="59"/>
      <c r="C72" s="59"/>
      <c r="D72" s="20"/>
      <c r="E72" s="20"/>
      <c r="F72" s="21">
        <v>0</v>
      </c>
      <c r="G72" s="21">
        <v>0</v>
      </c>
      <c r="H72" s="21">
        <v>0</v>
      </c>
      <c r="I72" s="21">
        <v>0</v>
      </c>
      <c r="J72" s="20" t="s">
        <v>130</v>
      </c>
      <c r="K72" s="22" t="s">
        <v>24</v>
      </c>
      <c r="L72" s="46">
        <v>10130</v>
      </c>
      <c r="M72" s="46">
        <v>11000</v>
      </c>
      <c r="N72" s="47">
        <v>11800</v>
      </c>
    </row>
    <row r="73" spans="1:14" ht="15.75" thickBot="1" x14ac:dyDescent="0.3">
      <c r="A73" s="57"/>
      <c r="B73" s="60"/>
      <c r="C73" s="60"/>
      <c r="D73" s="20"/>
      <c r="E73" s="20"/>
      <c r="F73" s="21">
        <v>0</v>
      </c>
      <c r="G73" s="21">
        <v>0</v>
      </c>
      <c r="H73" s="21">
        <v>0</v>
      </c>
      <c r="I73" s="21">
        <v>0</v>
      </c>
      <c r="J73" s="20" t="s">
        <v>131</v>
      </c>
      <c r="K73" s="22" t="s">
        <v>24</v>
      </c>
      <c r="L73" s="46">
        <v>3600</v>
      </c>
      <c r="M73" s="46">
        <v>4100</v>
      </c>
      <c r="N73" s="47">
        <v>4600</v>
      </c>
    </row>
    <row r="74" spans="1:14" x14ac:dyDescent="0.25">
      <c r="A74" s="55" t="s">
        <v>132</v>
      </c>
      <c r="B74" s="58" t="s">
        <v>133</v>
      </c>
      <c r="C74" s="58" t="s">
        <v>134</v>
      </c>
      <c r="D74" s="17"/>
      <c r="E74" s="17"/>
      <c r="F74" s="18">
        <f>SUM(F75:F75)</f>
        <v>35.5</v>
      </c>
      <c r="G74" s="18">
        <f>SUM(G75:G75)</f>
        <v>35.5</v>
      </c>
      <c r="H74" s="18">
        <f>SUM(H75:H75)</f>
        <v>0</v>
      </c>
      <c r="I74" s="18">
        <f>SUM(I75:I75)</f>
        <v>0</v>
      </c>
      <c r="J74" s="17" t="s">
        <v>135</v>
      </c>
      <c r="K74" s="19" t="s">
        <v>24</v>
      </c>
      <c r="L74" s="19">
        <v>1</v>
      </c>
      <c r="M74" s="19"/>
      <c r="N74" s="43"/>
    </row>
    <row r="75" spans="1:14" ht="15.75" thickBot="1" x14ac:dyDescent="0.3">
      <c r="A75" s="57"/>
      <c r="B75" s="60"/>
      <c r="C75" s="60"/>
      <c r="D75" s="20" t="s">
        <v>136</v>
      </c>
      <c r="E75" s="20"/>
      <c r="F75" s="21">
        <v>35.5</v>
      </c>
      <c r="G75" s="21">
        <v>35.5</v>
      </c>
      <c r="H75" s="21">
        <v>0</v>
      </c>
      <c r="I75" s="21">
        <v>0</v>
      </c>
      <c r="J75" s="20"/>
      <c r="K75" s="22"/>
      <c r="L75" s="22"/>
      <c r="M75" s="22"/>
      <c r="N75" s="44"/>
    </row>
    <row r="76" spans="1:14" x14ac:dyDescent="0.25">
      <c r="A76" s="55" t="s">
        <v>137</v>
      </c>
      <c r="B76" s="58" t="s">
        <v>138</v>
      </c>
      <c r="C76" s="58" t="s">
        <v>139</v>
      </c>
      <c r="D76" s="17"/>
      <c r="E76" s="17"/>
      <c r="F76" s="18">
        <f>SUM(F77:F79)</f>
        <v>1667.9</v>
      </c>
      <c r="G76" s="18">
        <f>SUM(G77:G79)</f>
        <v>1917.9</v>
      </c>
      <c r="H76" s="18">
        <f>SUM(H77:H79)</f>
        <v>0</v>
      </c>
      <c r="I76" s="18">
        <f>SUM(I77:I79)</f>
        <v>0</v>
      </c>
      <c r="J76" s="17" t="s">
        <v>140</v>
      </c>
      <c r="K76" s="19" t="s">
        <v>20</v>
      </c>
      <c r="L76" s="19">
        <v>100</v>
      </c>
      <c r="M76" s="19"/>
      <c r="N76" s="43"/>
    </row>
    <row r="77" spans="1:14" x14ac:dyDescent="0.25">
      <c r="A77" s="56"/>
      <c r="B77" s="59"/>
      <c r="C77" s="59"/>
      <c r="D77" s="20" t="s">
        <v>30</v>
      </c>
      <c r="E77" s="20"/>
      <c r="F77" s="21">
        <v>0</v>
      </c>
      <c r="G77" s="21">
        <v>250</v>
      </c>
      <c r="H77" s="21">
        <v>0</v>
      </c>
      <c r="I77" s="21">
        <v>0</v>
      </c>
      <c r="J77" s="20"/>
      <c r="K77" s="22"/>
      <c r="L77" s="22"/>
      <c r="M77" s="22"/>
      <c r="N77" s="44"/>
    </row>
    <row r="78" spans="1:14" x14ac:dyDescent="0.25">
      <c r="A78" s="56"/>
      <c r="B78" s="59"/>
      <c r="C78" s="59"/>
      <c r="D78" s="20" t="s">
        <v>35</v>
      </c>
      <c r="E78" s="20"/>
      <c r="F78" s="21">
        <v>1089</v>
      </c>
      <c r="G78" s="21">
        <v>1089</v>
      </c>
      <c r="H78" s="21">
        <v>0</v>
      </c>
      <c r="I78" s="21">
        <v>0</v>
      </c>
      <c r="J78" s="20"/>
      <c r="K78" s="22"/>
      <c r="L78" s="22"/>
      <c r="M78" s="22"/>
      <c r="N78" s="44"/>
    </row>
    <row r="79" spans="1:14" ht="15.75" thickBot="1" x14ac:dyDescent="0.3">
      <c r="A79" s="57"/>
      <c r="B79" s="60"/>
      <c r="C79" s="60"/>
      <c r="D79" s="20" t="s">
        <v>119</v>
      </c>
      <c r="E79" s="20"/>
      <c r="F79" s="21">
        <v>578.9</v>
      </c>
      <c r="G79" s="21">
        <v>578.9</v>
      </c>
      <c r="H79" s="21">
        <v>0</v>
      </c>
      <c r="I79" s="21">
        <v>0</v>
      </c>
      <c r="J79" s="20"/>
      <c r="K79" s="22"/>
      <c r="L79" s="22"/>
      <c r="M79" s="22"/>
      <c r="N79" s="44"/>
    </row>
    <row r="80" spans="1:14" x14ac:dyDescent="0.25">
      <c r="A80" s="55" t="s">
        <v>141</v>
      </c>
      <c r="B80" s="58" t="s">
        <v>142</v>
      </c>
      <c r="C80" s="58" t="s">
        <v>143</v>
      </c>
      <c r="D80" s="17"/>
      <c r="E80" s="17"/>
      <c r="F80" s="18">
        <f>SUM(F81:F84)</f>
        <v>1122.5</v>
      </c>
      <c r="G80" s="18">
        <f>SUM(G81:G84)</f>
        <v>1277.5</v>
      </c>
      <c r="H80" s="18">
        <f>SUM(H81:H84)</f>
        <v>0</v>
      </c>
      <c r="I80" s="18">
        <f>SUM(I81:I84)</f>
        <v>0</v>
      </c>
      <c r="J80" s="17" t="s">
        <v>140</v>
      </c>
      <c r="K80" s="19" t="s">
        <v>20</v>
      </c>
      <c r="L80" s="19">
        <v>100</v>
      </c>
      <c r="M80" s="19"/>
      <c r="N80" s="43"/>
    </row>
    <row r="81" spans="1:14" x14ac:dyDescent="0.25">
      <c r="A81" s="56"/>
      <c r="B81" s="59"/>
      <c r="C81" s="59"/>
      <c r="D81" s="20" t="s">
        <v>121</v>
      </c>
      <c r="E81" s="20"/>
      <c r="F81" s="21">
        <v>106.6</v>
      </c>
      <c r="G81" s="21">
        <v>106.6</v>
      </c>
      <c r="H81" s="21">
        <v>0</v>
      </c>
      <c r="I81" s="21">
        <v>0</v>
      </c>
      <c r="J81" s="20"/>
      <c r="K81" s="22"/>
      <c r="L81" s="22"/>
      <c r="M81" s="22"/>
      <c r="N81" s="44"/>
    </row>
    <row r="82" spans="1:14" x14ac:dyDescent="0.25">
      <c r="A82" s="56"/>
      <c r="B82" s="59"/>
      <c r="C82" s="59"/>
      <c r="D82" s="20" t="s">
        <v>30</v>
      </c>
      <c r="E82" s="20"/>
      <c r="F82" s="21">
        <v>660.5</v>
      </c>
      <c r="G82" s="21">
        <v>715.3</v>
      </c>
      <c r="H82" s="21">
        <v>0</v>
      </c>
      <c r="I82" s="21">
        <v>0</v>
      </c>
      <c r="J82" s="20"/>
      <c r="K82" s="22"/>
      <c r="L82" s="22"/>
      <c r="M82" s="22"/>
      <c r="N82" s="44"/>
    </row>
    <row r="83" spans="1:14" x14ac:dyDescent="0.25">
      <c r="A83" s="56"/>
      <c r="B83" s="59"/>
      <c r="C83" s="59"/>
      <c r="D83" s="20" t="s">
        <v>144</v>
      </c>
      <c r="E83" s="20"/>
      <c r="F83" s="21">
        <v>355.4</v>
      </c>
      <c r="G83" s="21">
        <v>355.4</v>
      </c>
      <c r="H83" s="21">
        <v>0</v>
      </c>
      <c r="I83" s="21">
        <v>0</v>
      </c>
      <c r="J83" s="20"/>
      <c r="K83" s="22"/>
      <c r="L83" s="22"/>
      <c r="M83" s="22"/>
      <c r="N83" s="44"/>
    </row>
    <row r="84" spans="1:14" ht="15.75" thickBot="1" x14ac:dyDescent="0.3">
      <c r="A84" s="57"/>
      <c r="B84" s="60"/>
      <c r="C84" s="60"/>
      <c r="D84" s="20" t="s">
        <v>35</v>
      </c>
      <c r="E84" s="20"/>
      <c r="F84" s="21">
        <v>0</v>
      </c>
      <c r="G84" s="21">
        <v>100.2</v>
      </c>
      <c r="H84" s="21">
        <v>0</v>
      </c>
      <c r="I84" s="21">
        <v>0</v>
      </c>
      <c r="J84" s="20"/>
      <c r="K84" s="22"/>
      <c r="L84" s="22"/>
      <c r="M84" s="22"/>
      <c r="N84" s="44"/>
    </row>
    <row r="85" spans="1:14" x14ac:dyDescent="0.25">
      <c r="A85" s="55" t="s">
        <v>145</v>
      </c>
      <c r="B85" s="58" t="s">
        <v>146</v>
      </c>
      <c r="C85" s="58" t="s">
        <v>147</v>
      </c>
      <c r="D85" s="17"/>
      <c r="E85" s="17" t="s">
        <v>148</v>
      </c>
      <c r="F85" s="18">
        <f>SUM(F86:F87)</f>
        <v>146.5</v>
      </c>
      <c r="G85" s="18">
        <f>SUM(G86:G87)</f>
        <v>146.5</v>
      </c>
      <c r="H85" s="18">
        <f>SUM(H86:H87)</f>
        <v>0</v>
      </c>
      <c r="I85" s="18">
        <f>SUM(I86:I87)</f>
        <v>0</v>
      </c>
      <c r="J85" s="17" t="s">
        <v>140</v>
      </c>
      <c r="K85" s="19" t="s">
        <v>20</v>
      </c>
      <c r="L85" s="19">
        <v>100</v>
      </c>
      <c r="M85" s="19"/>
      <c r="N85" s="43"/>
    </row>
    <row r="86" spans="1:14" x14ac:dyDescent="0.25">
      <c r="A86" s="56"/>
      <c r="B86" s="59"/>
      <c r="C86" s="59"/>
      <c r="D86" s="20" t="s">
        <v>35</v>
      </c>
      <c r="E86" s="20"/>
      <c r="F86" s="21">
        <v>126.5</v>
      </c>
      <c r="G86" s="21">
        <v>126.5</v>
      </c>
      <c r="H86" s="21">
        <v>0</v>
      </c>
      <c r="I86" s="21">
        <v>0</v>
      </c>
      <c r="J86" s="20"/>
      <c r="K86" s="22"/>
      <c r="L86" s="22"/>
      <c r="M86" s="22"/>
      <c r="N86" s="44"/>
    </row>
    <row r="87" spans="1:14" ht="15.75" thickBot="1" x14ac:dyDescent="0.3">
      <c r="A87" s="57"/>
      <c r="B87" s="60"/>
      <c r="C87" s="60"/>
      <c r="D87" s="20" t="s">
        <v>30</v>
      </c>
      <c r="E87" s="20"/>
      <c r="F87" s="21">
        <v>20</v>
      </c>
      <c r="G87" s="21">
        <v>20</v>
      </c>
      <c r="H87" s="21">
        <v>0</v>
      </c>
      <c r="I87" s="21">
        <v>0</v>
      </c>
      <c r="J87" s="20"/>
      <c r="K87" s="22"/>
      <c r="L87" s="22"/>
      <c r="M87" s="22"/>
      <c r="N87" s="44"/>
    </row>
    <row r="88" spans="1:14" x14ac:dyDescent="0.25">
      <c r="A88" s="55" t="s">
        <v>149</v>
      </c>
      <c r="B88" s="58" t="s">
        <v>150</v>
      </c>
      <c r="C88" s="58" t="s">
        <v>151</v>
      </c>
      <c r="D88" s="17"/>
      <c r="E88" s="17"/>
      <c r="F88" s="18">
        <f>SUM(F89:F91)</f>
        <v>808.09999999999991</v>
      </c>
      <c r="G88" s="18">
        <f>SUM(G89:G91)</f>
        <v>822.3</v>
      </c>
      <c r="H88" s="18">
        <f>SUM(H89:H91)</f>
        <v>0</v>
      </c>
      <c r="I88" s="18">
        <f>SUM(I89:I91)</f>
        <v>0</v>
      </c>
      <c r="J88" s="17" t="s">
        <v>140</v>
      </c>
      <c r="K88" s="19" t="s">
        <v>20</v>
      </c>
      <c r="L88" s="19">
        <v>100</v>
      </c>
      <c r="M88" s="19"/>
      <c r="N88" s="43"/>
    </row>
    <row r="89" spans="1:14" x14ac:dyDescent="0.25">
      <c r="A89" s="56"/>
      <c r="B89" s="59"/>
      <c r="C89" s="59"/>
      <c r="D89" s="20" t="s">
        <v>121</v>
      </c>
      <c r="E89" s="20"/>
      <c r="F89" s="21">
        <v>74.7</v>
      </c>
      <c r="G89" s="21">
        <v>74.7</v>
      </c>
      <c r="H89" s="21">
        <v>0</v>
      </c>
      <c r="I89" s="21">
        <v>0</v>
      </c>
      <c r="J89" s="20"/>
      <c r="K89" s="22"/>
      <c r="L89" s="22"/>
      <c r="M89" s="22"/>
      <c r="N89" s="44"/>
    </row>
    <row r="90" spans="1:14" x14ac:dyDescent="0.25">
      <c r="A90" s="56"/>
      <c r="B90" s="59"/>
      <c r="C90" s="59"/>
      <c r="D90" s="20" t="s">
        <v>144</v>
      </c>
      <c r="E90" s="20"/>
      <c r="F90" s="21">
        <v>249</v>
      </c>
      <c r="G90" s="21">
        <v>249</v>
      </c>
      <c r="H90" s="21">
        <v>0</v>
      </c>
      <c r="I90" s="21">
        <v>0</v>
      </c>
      <c r="J90" s="20"/>
      <c r="K90" s="22"/>
      <c r="L90" s="22"/>
      <c r="M90" s="22"/>
      <c r="N90" s="44"/>
    </row>
    <row r="91" spans="1:14" ht="15.75" thickBot="1" x14ac:dyDescent="0.3">
      <c r="A91" s="57"/>
      <c r="B91" s="60"/>
      <c r="C91" s="60"/>
      <c r="D91" s="20" t="s">
        <v>30</v>
      </c>
      <c r="E91" s="20"/>
      <c r="F91" s="21">
        <v>484.4</v>
      </c>
      <c r="G91" s="21">
        <v>498.6</v>
      </c>
      <c r="H91" s="21">
        <v>0</v>
      </c>
      <c r="I91" s="21">
        <v>0</v>
      </c>
      <c r="J91" s="20"/>
      <c r="K91" s="22"/>
      <c r="L91" s="22"/>
      <c r="M91" s="22"/>
      <c r="N91" s="44"/>
    </row>
    <row r="92" spans="1:14" ht="45.75" thickBot="1" x14ac:dyDescent="0.3">
      <c r="A92" s="23" t="s">
        <v>152</v>
      </c>
      <c r="B92" s="24" t="s">
        <v>153</v>
      </c>
      <c r="C92" s="17" t="s">
        <v>154</v>
      </c>
      <c r="D92" s="17" t="s">
        <v>30</v>
      </c>
      <c r="E92" s="17"/>
      <c r="F92" s="25">
        <v>20.2</v>
      </c>
      <c r="G92" s="25">
        <v>20.2</v>
      </c>
      <c r="H92" s="25">
        <v>0</v>
      </c>
      <c r="I92" s="25">
        <v>0</v>
      </c>
      <c r="J92" s="17" t="s">
        <v>140</v>
      </c>
      <c r="K92" s="19" t="s">
        <v>20</v>
      </c>
      <c r="L92" s="19">
        <v>100</v>
      </c>
      <c r="M92" s="19"/>
      <c r="N92" s="43"/>
    </row>
    <row r="93" spans="1:14" ht="30" x14ac:dyDescent="0.25">
      <c r="A93" s="64" t="s">
        <v>155</v>
      </c>
      <c r="B93" s="66" t="s">
        <v>156</v>
      </c>
      <c r="C93" s="67"/>
      <c r="D93" s="67"/>
      <c r="E93" s="68"/>
      <c r="F93" s="12">
        <f>F94+F95+F105</f>
        <v>456.8</v>
      </c>
      <c r="G93" s="12">
        <f>G94+G95+G105</f>
        <v>459</v>
      </c>
      <c r="H93" s="12">
        <f>H94+H95+H105</f>
        <v>184</v>
      </c>
      <c r="I93" s="12">
        <f>I94+I95+I105</f>
        <v>201.2</v>
      </c>
      <c r="J93" s="13" t="s">
        <v>157</v>
      </c>
      <c r="K93" s="14" t="s">
        <v>20</v>
      </c>
      <c r="L93" s="14">
        <v>3</v>
      </c>
      <c r="M93" s="14">
        <v>3</v>
      </c>
      <c r="N93" s="42">
        <v>3</v>
      </c>
    </row>
    <row r="94" spans="1:14" ht="30.75" thickBot="1" x14ac:dyDescent="0.3">
      <c r="A94" s="65"/>
      <c r="B94" s="69"/>
      <c r="C94" s="70"/>
      <c r="D94" s="70"/>
      <c r="E94" s="71"/>
      <c r="F94" s="26">
        <v>0</v>
      </c>
      <c r="G94" s="26">
        <v>0</v>
      </c>
      <c r="H94" s="26">
        <v>0</v>
      </c>
      <c r="I94" s="26">
        <v>0</v>
      </c>
      <c r="J94" s="27" t="s">
        <v>158</v>
      </c>
      <c r="K94" s="28" t="s">
        <v>24</v>
      </c>
      <c r="L94" s="28">
        <v>15</v>
      </c>
      <c r="M94" s="28">
        <v>15</v>
      </c>
      <c r="N94" s="45">
        <v>12</v>
      </c>
    </row>
    <row r="95" spans="1:14" ht="28.5" customHeight="1" thickBot="1" x14ac:dyDescent="0.3">
      <c r="A95" s="15" t="s">
        <v>159</v>
      </c>
      <c r="B95" s="72" t="s">
        <v>160</v>
      </c>
      <c r="C95" s="73"/>
      <c r="D95" s="73"/>
      <c r="E95" s="74"/>
      <c r="F95" s="16">
        <f>F96+F100+F102+F104</f>
        <v>445.3</v>
      </c>
      <c r="G95" s="16">
        <f>G96+G100+G102+G104</f>
        <v>447.5</v>
      </c>
      <c r="H95" s="16">
        <f>H96+H100+H102+H104</f>
        <v>172.5</v>
      </c>
      <c r="I95" s="16">
        <f>I96+I100+I102+I104</f>
        <v>189.7</v>
      </c>
      <c r="J95" s="61"/>
      <c r="K95" s="62"/>
      <c r="L95" s="62"/>
      <c r="M95" s="62"/>
      <c r="N95" s="63"/>
    </row>
    <row r="96" spans="1:14" ht="30" x14ac:dyDescent="0.25">
      <c r="A96" s="55" t="s">
        <v>161</v>
      </c>
      <c r="B96" s="58" t="s">
        <v>162</v>
      </c>
      <c r="C96" s="58" t="s">
        <v>163</v>
      </c>
      <c r="D96" s="17"/>
      <c r="E96" s="17"/>
      <c r="F96" s="18">
        <f>SUM(F97:F99)</f>
        <v>71.900000000000006</v>
      </c>
      <c r="G96" s="18">
        <f>SUM(G97:G99)</f>
        <v>74.100000000000009</v>
      </c>
      <c r="H96" s="18">
        <f>SUM(H97:H99)</f>
        <v>0</v>
      </c>
      <c r="I96" s="18">
        <f>SUM(I97:I99)</f>
        <v>0</v>
      </c>
      <c r="J96" s="17" t="s">
        <v>164</v>
      </c>
      <c r="K96" s="19" t="s">
        <v>24</v>
      </c>
      <c r="L96" s="19">
        <v>1</v>
      </c>
      <c r="M96" s="19"/>
      <c r="N96" s="43"/>
    </row>
    <row r="97" spans="1:14" x14ac:dyDescent="0.25">
      <c r="A97" s="56"/>
      <c r="B97" s="59"/>
      <c r="C97" s="59"/>
      <c r="D97" s="20" t="s">
        <v>35</v>
      </c>
      <c r="E97" s="20"/>
      <c r="F97" s="21">
        <v>0.2</v>
      </c>
      <c r="G97" s="21">
        <v>0.2</v>
      </c>
      <c r="H97" s="21">
        <v>0</v>
      </c>
      <c r="I97" s="21">
        <v>0</v>
      </c>
      <c r="J97" s="20"/>
      <c r="K97" s="22"/>
      <c r="L97" s="22"/>
      <c r="M97" s="22"/>
      <c r="N97" s="44"/>
    </row>
    <row r="98" spans="1:14" x14ac:dyDescent="0.25">
      <c r="A98" s="56"/>
      <c r="B98" s="59"/>
      <c r="C98" s="59"/>
      <c r="D98" s="20" t="s">
        <v>136</v>
      </c>
      <c r="E98" s="20"/>
      <c r="F98" s="21">
        <v>71.7</v>
      </c>
      <c r="G98" s="21">
        <v>71.900000000000006</v>
      </c>
      <c r="H98" s="21">
        <v>0</v>
      </c>
      <c r="I98" s="21">
        <v>0</v>
      </c>
      <c r="J98" s="20"/>
      <c r="K98" s="22"/>
      <c r="L98" s="22"/>
      <c r="M98" s="22"/>
      <c r="N98" s="44"/>
    </row>
    <row r="99" spans="1:14" ht="15.75" thickBot="1" x14ac:dyDescent="0.3">
      <c r="A99" s="57"/>
      <c r="B99" s="60"/>
      <c r="C99" s="60"/>
      <c r="D99" s="20" t="s">
        <v>30</v>
      </c>
      <c r="E99" s="20"/>
      <c r="F99" s="21">
        <v>0</v>
      </c>
      <c r="G99" s="21">
        <v>2</v>
      </c>
      <c r="H99" s="21">
        <v>0</v>
      </c>
      <c r="I99" s="21">
        <v>0</v>
      </c>
      <c r="J99" s="20"/>
      <c r="K99" s="22"/>
      <c r="L99" s="22"/>
      <c r="M99" s="22"/>
      <c r="N99" s="44"/>
    </row>
    <row r="100" spans="1:14" ht="49.5" customHeight="1" x14ac:dyDescent="0.25">
      <c r="A100" s="55" t="s">
        <v>165</v>
      </c>
      <c r="B100" s="58" t="s">
        <v>166</v>
      </c>
      <c r="C100" s="58" t="s">
        <v>167</v>
      </c>
      <c r="D100" s="17"/>
      <c r="E100" s="17"/>
      <c r="F100" s="18">
        <f>SUM(F101:F101)</f>
        <v>46</v>
      </c>
      <c r="G100" s="18">
        <f>SUM(G101:G101)</f>
        <v>46</v>
      </c>
      <c r="H100" s="18">
        <f>SUM(H101:H101)</f>
        <v>0</v>
      </c>
      <c r="I100" s="18">
        <f>SUM(I101:I101)</f>
        <v>0</v>
      </c>
      <c r="J100" s="17" t="s">
        <v>168</v>
      </c>
      <c r="K100" s="19" t="s">
        <v>20</v>
      </c>
      <c r="L100" s="19">
        <v>100</v>
      </c>
      <c r="M100" s="19"/>
      <c r="N100" s="43"/>
    </row>
    <row r="101" spans="1:14" ht="15.75" thickBot="1" x14ac:dyDescent="0.3">
      <c r="A101" s="57"/>
      <c r="B101" s="60"/>
      <c r="C101" s="60"/>
      <c r="D101" s="20" t="s">
        <v>35</v>
      </c>
      <c r="E101" s="20"/>
      <c r="F101" s="21">
        <v>46</v>
      </c>
      <c r="G101" s="21">
        <v>46</v>
      </c>
      <c r="H101" s="21">
        <v>0</v>
      </c>
      <c r="I101" s="21">
        <v>0</v>
      </c>
      <c r="J101" s="20"/>
      <c r="K101" s="22"/>
      <c r="L101" s="22"/>
      <c r="M101" s="22"/>
      <c r="N101" s="44"/>
    </row>
    <row r="102" spans="1:14" ht="26.25" customHeight="1" x14ac:dyDescent="0.25">
      <c r="A102" s="55" t="s">
        <v>169</v>
      </c>
      <c r="B102" s="58" t="s">
        <v>170</v>
      </c>
      <c r="C102" s="58" t="s">
        <v>167</v>
      </c>
      <c r="D102" s="17"/>
      <c r="E102" s="17"/>
      <c r="F102" s="18">
        <f>SUM(F103:F103)</f>
        <v>170.6</v>
      </c>
      <c r="G102" s="18">
        <f>SUM(G103:G103)</f>
        <v>170.6</v>
      </c>
      <c r="H102" s="18">
        <f>SUM(H103:H103)</f>
        <v>0</v>
      </c>
      <c r="I102" s="18">
        <f>SUM(I103:I103)</f>
        <v>0</v>
      </c>
      <c r="J102" s="17" t="s">
        <v>168</v>
      </c>
      <c r="K102" s="19" t="s">
        <v>20</v>
      </c>
      <c r="L102" s="19">
        <v>100</v>
      </c>
      <c r="M102" s="19"/>
      <c r="N102" s="43"/>
    </row>
    <row r="103" spans="1:14" ht="15.75" thickBot="1" x14ac:dyDescent="0.3">
      <c r="A103" s="57"/>
      <c r="B103" s="60"/>
      <c r="C103" s="60"/>
      <c r="D103" s="20" t="s">
        <v>35</v>
      </c>
      <c r="E103" s="20"/>
      <c r="F103" s="21">
        <v>170.6</v>
      </c>
      <c r="G103" s="21">
        <v>170.6</v>
      </c>
      <c r="H103" s="21">
        <v>0</v>
      </c>
      <c r="I103" s="21">
        <v>0</v>
      </c>
      <c r="J103" s="20"/>
      <c r="K103" s="22"/>
      <c r="L103" s="22"/>
      <c r="M103" s="22"/>
      <c r="N103" s="44"/>
    </row>
    <row r="104" spans="1:14" ht="75.75" thickBot="1" x14ac:dyDescent="0.3">
      <c r="A104" s="23" t="s">
        <v>171</v>
      </c>
      <c r="B104" s="24" t="s">
        <v>172</v>
      </c>
      <c r="C104" s="17" t="s">
        <v>173</v>
      </c>
      <c r="D104" s="17" t="s">
        <v>30</v>
      </c>
      <c r="E104" s="17" t="s">
        <v>148</v>
      </c>
      <c r="F104" s="25">
        <v>156.80000000000001</v>
      </c>
      <c r="G104" s="25">
        <v>156.80000000000001</v>
      </c>
      <c r="H104" s="25">
        <v>172.5</v>
      </c>
      <c r="I104" s="25">
        <v>189.7</v>
      </c>
      <c r="J104" s="17" t="s">
        <v>174</v>
      </c>
      <c r="K104" s="19" t="s">
        <v>24</v>
      </c>
      <c r="L104" s="19">
        <v>15</v>
      </c>
      <c r="M104" s="19">
        <v>15</v>
      </c>
      <c r="N104" s="43">
        <v>12</v>
      </c>
    </row>
    <row r="105" spans="1:14" ht="29.25" customHeight="1" thickBot="1" x14ac:dyDescent="0.3">
      <c r="A105" s="15" t="s">
        <v>175</v>
      </c>
      <c r="B105" s="72" t="s">
        <v>176</v>
      </c>
      <c r="C105" s="73"/>
      <c r="D105" s="73"/>
      <c r="E105" s="74"/>
      <c r="F105" s="16">
        <f>SUM(F106:F107)</f>
        <v>11.5</v>
      </c>
      <c r="G105" s="16">
        <f>SUM(G106:G107)</f>
        <v>11.5</v>
      </c>
      <c r="H105" s="16">
        <f>SUM(H106:H107)</f>
        <v>11.5</v>
      </c>
      <c r="I105" s="16">
        <f>SUM(I106:I107)</f>
        <v>11.5</v>
      </c>
      <c r="J105" s="61"/>
      <c r="K105" s="62"/>
      <c r="L105" s="62"/>
      <c r="M105" s="62"/>
      <c r="N105" s="63"/>
    </row>
    <row r="106" spans="1:14" ht="45.75" thickBot="1" x14ac:dyDescent="0.3">
      <c r="A106" s="23" t="s">
        <v>177</v>
      </c>
      <c r="B106" s="24" t="s">
        <v>178</v>
      </c>
      <c r="C106" s="17" t="s">
        <v>167</v>
      </c>
      <c r="D106" s="17" t="s">
        <v>30</v>
      </c>
      <c r="E106" s="17"/>
      <c r="F106" s="25">
        <v>1.5</v>
      </c>
      <c r="G106" s="25">
        <v>1.5</v>
      </c>
      <c r="H106" s="25">
        <v>1.5</v>
      </c>
      <c r="I106" s="25">
        <v>1.5</v>
      </c>
      <c r="J106" s="17" t="s">
        <v>179</v>
      </c>
      <c r="K106" s="19" t="s">
        <v>24</v>
      </c>
      <c r="L106" s="19">
        <v>1</v>
      </c>
      <c r="M106" s="19">
        <v>1</v>
      </c>
      <c r="N106" s="43">
        <v>1</v>
      </c>
    </row>
    <row r="107" spans="1:14" ht="45.75" thickBot="1" x14ac:dyDescent="0.3">
      <c r="A107" s="23" t="s">
        <v>180</v>
      </c>
      <c r="B107" s="24" t="s">
        <v>181</v>
      </c>
      <c r="C107" s="17" t="s">
        <v>167</v>
      </c>
      <c r="D107" s="17" t="s">
        <v>30</v>
      </c>
      <c r="E107" s="17"/>
      <c r="F107" s="25">
        <v>10</v>
      </c>
      <c r="G107" s="25">
        <v>10</v>
      </c>
      <c r="H107" s="25">
        <v>10</v>
      </c>
      <c r="I107" s="25">
        <v>10</v>
      </c>
      <c r="J107" s="17" t="s">
        <v>182</v>
      </c>
      <c r="K107" s="19" t="s">
        <v>24</v>
      </c>
      <c r="L107" s="19">
        <v>4</v>
      </c>
      <c r="M107" s="19">
        <v>4</v>
      </c>
      <c r="N107" s="43">
        <v>4</v>
      </c>
    </row>
    <row r="108" spans="1:14" ht="26.25" customHeight="1" thickBot="1" x14ac:dyDescent="0.3">
      <c r="A108" s="8" t="s">
        <v>183</v>
      </c>
      <c r="B108" s="9" t="s">
        <v>184</v>
      </c>
      <c r="C108" s="87" t="s">
        <v>185</v>
      </c>
      <c r="D108" s="88"/>
      <c r="E108" s="89"/>
      <c r="F108" s="10">
        <f>SUM(F109:F109)</f>
        <v>8203.5999999999985</v>
      </c>
      <c r="G108" s="10">
        <f>SUM(G109:G109)</f>
        <v>8383.4</v>
      </c>
      <c r="H108" s="10">
        <f>SUM(H109:H109)</f>
        <v>5518.5</v>
      </c>
      <c r="I108" s="10">
        <f>SUM(I109:I109)</f>
        <v>5503.3</v>
      </c>
      <c r="J108" s="90"/>
      <c r="K108" s="91"/>
      <c r="L108" s="91"/>
      <c r="M108" s="91"/>
      <c r="N108" s="92"/>
    </row>
    <row r="109" spans="1:14" ht="28.5" customHeight="1" thickBot="1" x14ac:dyDescent="0.3">
      <c r="A109" s="11" t="s">
        <v>186</v>
      </c>
      <c r="B109" s="93" t="s">
        <v>187</v>
      </c>
      <c r="C109" s="94"/>
      <c r="D109" s="94"/>
      <c r="E109" s="95"/>
      <c r="F109" s="12">
        <f>F110+F123+F130+F147+F152+0.1</f>
        <v>8203.5999999999985</v>
      </c>
      <c r="G109" s="12">
        <f>G110+G123+G130+G147+G152</f>
        <v>8383.4</v>
      </c>
      <c r="H109" s="12">
        <f>H110+H123+H130+H147+H152</f>
        <v>5518.5</v>
      </c>
      <c r="I109" s="12">
        <f>I110+I123+I130+I147+I152</f>
        <v>5503.3</v>
      </c>
      <c r="J109" s="13" t="s">
        <v>188</v>
      </c>
      <c r="K109" s="14" t="s">
        <v>189</v>
      </c>
      <c r="L109" s="48">
        <v>38000</v>
      </c>
      <c r="M109" s="48">
        <v>38000</v>
      </c>
      <c r="N109" s="49">
        <v>38000</v>
      </c>
    </row>
    <row r="110" spans="1:14" ht="27.75" customHeight="1" thickBot="1" x14ac:dyDescent="0.3">
      <c r="A110" s="15" t="s">
        <v>190</v>
      </c>
      <c r="B110" s="72" t="s">
        <v>191</v>
      </c>
      <c r="C110" s="73"/>
      <c r="D110" s="73"/>
      <c r="E110" s="74"/>
      <c r="F110" s="16">
        <f>F111+F114+F117+F120</f>
        <v>5700.1999999999989</v>
      </c>
      <c r="G110" s="16">
        <f>G111+G114+G117+G120</f>
        <v>5964.2999999999993</v>
      </c>
      <c r="H110" s="16">
        <f>H111+H114+H117+H120</f>
        <v>5015.7</v>
      </c>
      <c r="I110" s="16">
        <f>I111+I114+I117+I120</f>
        <v>5000.5</v>
      </c>
      <c r="J110" s="61"/>
      <c r="K110" s="62"/>
      <c r="L110" s="62"/>
      <c r="M110" s="62"/>
      <c r="N110" s="63"/>
    </row>
    <row r="111" spans="1:14" x14ac:dyDescent="0.25">
      <c r="A111" s="55" t="s">
        <v>192</v>
      </c>
      <c r="B111" s="58" t="s">
        <v>193</v>
      </c>
      <c r="C111" s="58" t="s">
        <v>194</v>
      </c>
      <c r="D111" s="17"/>
      <c r="E111" s="17" t="s">
        <v>195</v>
      </c>
      <c r="F111" s="18">
        <f>SUM(F112:F113)</f>
        <v>5013.8999999999996</v>
      </c>
      <c r="G111" s="18">
        <f>SUM(G112:G113)</f>
        <v>5033.7999999999993</v>
      </c>
      <c r="H111" s="18">
        <f>SUM(H112:H113)</f>
        <v>5005.7</v>
      </c>
      <c r="I111" s="18">
        <f>SUM(I112:I113)</f>
        <v>4990.5</v>
      </c>
      <c r="J111" s="17" t="s">
        <v>196</v>
      </c>
      <c r="K111" s="19" t="s">
        <v>189</v>
      </c>
      <c r="L111" s="50">
        <v>38000</v>
      </c>
      <c r="M111" s="50">
        <v>38000</v>
      </c>
      <c r="N111" s="51">
        <v>38000</v>
      </c>
    </row>
    <row r="112" spans="1:14" x14ac:dyDescent="0.25">
      <c r="A112" s="56"/>
      <c r="B112" s="59"/>
      <c r="C112" s="59"/>
      <c r="D112" s="20" t="s">
        <v>30</v>
      </c>
      <c r="E112" s="20"/>
      <c r="F112" s="21">
        <v>5013.8999999999996</v>
      </c>
      <c r="G112" s="21">
        <v>5013.8999999999996</v>
      </c>
      <c r="H112" s="21">
        <v>5005.7</v>
      </c>
      <c r="I112" s="21">
        <v>4990.5</v>
      </c>
      <c r="J112" s="20"/>
      <c r="K112" s="22"/>
      <c r="L112" s="22"/>
      <c r="M112" s="22"/>
      <c r="N112" s="44"/>
    </row>
    <row r="113" spans="1:14" ht="15.75" thickBot="1" x14ac:dyDescent="0.3">
      <c r="A113" s="57"/>
      <c r="B113" s="60"/>
      <c r="C113" s="60"/>
      <c r="D113" s="20" t="s">
        <v>121</v>
      </c>
      <c r="E113" s="20"/>
      <c r="F113" s="21">
        <v>0</v>
      </c>
      <c r="G113" s="21">
        <v>19.899999999999999</v>
      </c>
      <c r="H113" s="21">
        <v>0</v>
      </c>
      <c r="I113" s="21">
        <v>0</v>
      </c>
      <c r="J113" s="20"/>
      <c r="K113" s="22"/>
      <c r="L113" s="22"/>
      <c r="M113" s="22"/>
      <c r="N113" s="44"/>
    </row>
    <row r="114" spans="1:14" x14ac:dyDescent="0.25">
      <c r="A114" s="55" t="s">
        <v>197</v>
      </c>
      <c r="B114" s="58" t="s">
        <v>198</v>
      </c>
      <c r="C114" s="58" t="s">
        <v>185</v>
      </c>
      <c r="D114" s="17"/>
      <c r="E114" s="17"/>
      <c r="F114" s="18">
        <f>SUM(F115:F116)</f>
        <v>19.899999999999999</v>
      </c>
      <c r="G114" s="18">
        <f>SUM(G115:G116)</f>
        <v>20</v>
      </c>
      <c r="H114" s="18">
        <f>SUM(H115:H116)</f>
        <v>10</v>
      </c>
      <c r="I114" s="18">
        <f>SUM(I115:I116)</f>
        <v>10</v>
      </c>
      <c r="J114" s="17" t="s">
        <v>199</v>
      </c>
      <c r="K114" s="19" t="s">
        <v>20</v>
      </c>
      <c r="L114" s="19">
        <v>100</v>
      </c>
      <c r="M114" s="19">
        <v>100</v>
      </c>
      <c r="N114" s="43">
        <v>100</v>
      </c>
    </row>
    <row r="115" spans="1:14" x14ac:dyDescent="0.25">
      <c r="A115" s="56"/>
      <c r="B115" s="59"/>
      <c r="C115" s="59"/>
      <c r="D115" s="20" t="s">
        <v>200</v>
      </c>
      <c r="E115" s="20"/>
      <c r="F115" s="21">
        <v>5</v>
      </c>
      <c r="G115" s="21">
        <v>5</v>
      </c>
      <c r="H115" s="21">
        <v>10</v>
      </c>
      <c r="I115" s="21">
        <v>10</v>
      </c>
      <c r="J115" s="20" t="s">
        <v>201</v>
      </c>
      <c r="K115" s="22" t="s">
        <v>189</v>
      </c>
      <c r="L115" s="22">
        <v>200</v>
      </c>
      <c r="M115" s="22">
        <v>100</v>
      </c>
      <c r="N115" s="44">
        <v>100</v>
      </c>
    </row>
    <row r="116" spans="1:14" ht="15.75" thickBot="1" x14ac:dyDescent="0.3">
      <c r="A116" s="57"/>
      <c r="B116" s="60"/>
      <c r="C116" s="60"/>
      <c r="D116" s="20" t="s">
        <v>121</v>
      </c>
      <c r="E116" s="20"/>
      <c r="F116" s="21">
        <v>14.9</v>
      </c>
      <c r="G116" s="21">
        <v>15</v>
      </c>
      <c r="H116" s="21"/>
      <c r="I116" s="21"/>
      <c r="J116" s="20"/>
      <c r="K116" s="22"/>
      <c r="L116" s="22"/>
      <c r="M116" s="22"/>
      <c r="N116" s="44"/>
    </row>
    <row r="117" spans="1:14" x14ac:dyDescent="0.25">
      <c r="A117" s="55" t="s">
        <v>202</v>
      </c>
      <c r="B117" s="58" t="s">
        <v>203</v>
      </c>
      <c r="C117" s="58" t="s">
        <v>204</v>
      </c>
      <c r="D117" s="17"/>
      <c r="E117" s="17"/>
      <c r="F117" s="18">
        <f>SUM(F118:F119)</f>
        <v>565.4</v>
      </c>
      <c r="G117" s="18">
        <f>SUM(G118:G119)</f>
        <v>809.5</v>
      </c>
      <c r="H117" s="18">
        <f>SUM(H118:H119)</f>
        <v>0</v>
      </c>
      <c r="I117" s="18">
        <f>SUM(I118:I119)</f>
        <v>0</v>
      </c>
      <c r="J117" s="17" t="s">
        <v>205</v>
      </c>
      <c r="K117" s="19" t="s">
        <v>24</v>
      </c>
      <c r="L117" s="19">
        <v>204</v>
      </c>
      <c r="M117" s="19"/>
      <c r="N117" s="43"/>
    </row>
    <row r="118" spans="1:14" ht="53.25" customHeight="1" x14ac:dyDescent="0.25">
      <c r="A118" s="56"/>
      <c r="B118" s="59"/>
      <c r="C118" s="59"/>
      <c r="D118" s="20" t="s">
        <v>30</v>
      </c>
      <c r="E118" s="20"/>
      <c r="F118" s="21">
        <v>565.4</v>
      </c>
      <c r="G118" s="21">
        <v>565.4</v>
      </c>
      <c r="H118" s="21">
        <v>0</v>
      </c>
      <c r="I118" s="21">
        <v>0</v>
      </c>
      <c r="J118" s="20" t="s">
        <v>206</v>
      </c>
      <c r="K118" s="22" t="s">
        <v>24</v>
      </c>
      <c r="L118" s="22">
        <v>2</v>
      </c>
      <c r="M118" s="22"/>
      <c r="N118" s="44"/>
    </row>
    <row r="119" spans="1:14" ht="15.75" thickBot="1" x14ac:dyDescent="0.3">
      <c r="A119" s="57"/>
      <c r="B119" s="60"/>
      <c r="C119" s="60"/>
      <c r="D119" s="20" t="s">
        <v>35</v>
      </c>
      <c r="E119" s="20"/>
      <c r="F119" s="21"/>
      <c r="G119" s="21">
        <v>244.1</v>
      </c>
      <c r="H119" s="21"/>
      <c r="I119" s="21"/>
      <c r="J119" s="20"/>
      <c r="K119" s="22"/>
      <c r="L119" s="22"/>
      <c r="M119" s="22"/>
      <c r="N119" s="44"/>
    </row>
    <row r="120" spans="1:14" x14ac:dyDescent="0.25">
      <c r="A120" s="55" t="s">
        <v>207</v>
      </c>
      <c r="B120" s="58" t="s">
        <v>208</v>
      </c>
      <c r="C120" s="58" t="s">
        <v>204</v>
      </c>
      <c r="D120" s="17"/>
      <c r="E120" s="17"/>
      <c r="F120" s="18">
        <f>SUM(F121:F122)</f>
        <v>101</v>
      </c>
      <c r="G120" s="18">
        <f>SUM(G121:G122)</f>
        <v>101</v>
      </c>
      <c r="H120" s="18">
        <f>SUM(H121:H122)</f>
        <v>0</v>
      </c>
      <c r="I120" s="18">
        <f>SUM(I121:I122)</f>
        <v>0</v>
      </c>
      <c r="J120" s="17" t="s">
        <v>209</v>
      </c>
      <c r="K120" s="19" t="s">
        <v>24</v>
      </c>
      <c r="L120" s="19">
        <v>1</v>
      </c>
      <c r="M120" s="19"/>
      <c r="N120" s="43"/>
    </row>
    <row r="121" spans="1:14" x14ac:dyDescent="0.25">
      <c r="A121" s="56"/>
      <c r="B121" s="59"/>
      <c r="C121" s="59"/>
      <c r="D121" s="20" t="s">
        <v>30</v>
      </c>
      <c r="E121" s="20"/>
      <c r="F121" s="21">
        <v>62</v>
      </c>
      <c r="G121" s="21">
        <v>62</v>
      </c>
      <c r="H121" s="21">
        <v>0</v>
      </c>
      <c r="I121" s="21">
        <v>0</v>
      </c>
      <c r="J121" s="20" t="s">
        <v>210</v>
      </c>
      <c r="K121" s="22" t="s">
        <v>211</v>
      </c>
      <c r="L121" s="22">
        <v>1</v>
      </c>
      <c r="M121" s="22"/>
      <c r="N121" s="44"/>
    </row>
    <row r="122" spans="1:14" ht="15.75" thickBot="1" x14ac:dyDescent="0.3">
      <c r="A122" s="57"/>
      <c r="B122" s="60"/>
      <c r="C122" s="60"/>
      <c r="D122" s="20" t="s">
        <v>35</v>
      </c>
      <c r="E122" s="20"/>
      <c r="F122" s="21">
        <v>39</v>
      </c>
      <c r="G122" s="21">
        <v>39</v>
      </c>
      <c r="H122" s="21">
        <v>0</v>
      </c>
      <c r="I122" s="21">
        <v>0</v>
      </c>
      <c r="J122" s="20" t="s">
        <v>212</v>
      </c>
      <c r="K122" s="22" t="s">
        <v>24</v>
      </c>
      <c r="L122" s="22">
        <v>1</v>
      </c>
      <c r="M122" s="22"/>
      <c r="N122" s="44"/>
    </row>
    <row r="123" spans="1:14" ht="26.25" customHeight="1" thickBot="1" x14ac:dyDescent="0.3">
      <c r="A123" s="15" t="s">
        <v>213</v>
      </c>
      <c r="B123" s="72" t="s">
        <v>214</v>
      </c>
      <c r="C123" s="73"/>
      <c r="D123" s="73"/>
      <c r="E123" s="74"/>
      <c r="F123" s="16">
        <f>F124+F126</f>
        <v>457.9</v>
      </c>
      <c r="G123" s="16">
        <f>G124+G126</f>
        <v>458.2</v>
      </c>
      <c r="H123" s="16">
        <f>H124+H126</f>
        <v>141</v>
      </c>
      <c r="I123" s="16">
        <f>I124+I126</f>
        <v>141</v>
      </c>
      <c r="J123" s="61"/>
      <c r="K123" s="62"/>
      <c r="L123" s="62"/>
      <c r="M123" s="62"/>
      <c r="N123" s="63"/>
    </row>
    <row r="124" spans="1:14" ht="30" x14ac:dyDescent="0.25">
      <c r="A124" s="55" t="s">
        <v>215</v>
      </c>
      <c r="B124" s="58" t="s">
        <v>216</v>
      </c>
      <c r="C124" s="58" t="s">
        <v>185</v>
      </c>
      <c r="D124" s="17" t="s">
        <v>200</v>
      </c>
      <c r="E124" s="17"/>
      <c r="F124" s="18">
        <f>SUM(F125:F125)+50</f>
        <v>50</v>
      </c>
      <c r="G124" s="18">
        <f>SUM(G125:G125)+50</f>
        <v>50</v>
      </c>
      <c r="H124" s="18">
        <f>SUM(H125:H125)+50</f>
        <v>50</v>
      </c>
      <c r="I124" s="18">
        <f>SUM(I125:I125)+50</f>
        <v>50</v>
      </c>
      <c r="J124" s="17" t="s">
        <v>217</v>
      </c>
      <c r="K124" s="19" t="s">
        <v>24</v>
      </c>
      <c r="L124" s="19">
        <v>1</v>
      </c>
      <c r="M124" s="19">
        <v>0</v>
      </c>
      <c r="N124" s="43">
        <v>0</v>
      </c>
    </row>
    <row r="125" spans="1:14" ht="15.75" thickBot="1" x14ac:dyDescent="0.3">
      <c r="A125" s="57"/>
      <c r="B125" s="60"/>
      <c r="C125" s="60"/>
      <c r="D125" s="20"/>
      <c r="E125" s="20"/>
      <c r="F125" s="21">
        <v>0</v>
      </c>
      <c r="G125" s="21">
        <v>0</v>
      </c>
      <c r="H125" s="21">
        <v>0</v>
      </c>
      <c r="I125" s="21">
        <v>0</v>
      </c>
      <c r="J125" s="20" t="s">
        <v>218</v>
      </c>
      <c r="K125" s="22" t="s">
        <v>24</v>
      </c>
      <c r="L125" s="22">
        <v>3</v>
      </c>
      <c r="M125" s="22">
        <v>3</v>
      </c>
      <c r="N125" s="44">
        <v>3</v>
      </c>
    </row>
    <row r="126" spans="1:14" ht="45" x14ac:dyDescent="0.25">
      <c r="A126" s="55" t="s">
        <v>219</v>
      </c>
      <c r="B126" s="58" t="s">
        <v>220</v>
      </c>
      <c r="C126" s="58" t="s">
        <v>185</v>
      </c>
      <c r="D126" s="17"/>
      <c r="E126" s="17"/>
      <c r="F126" s="18">
        <f>SUM(F127:F129)</f>
        <v>407.9</v>
      </c>
      <c r="G126" s="18">
        <f>SUM(G127:G129)</f>
        <v>408.2</v>
      </c>
      <c r="H126" s="18">
        <f>SUM(H127:H129)</f>
        <v>91</v>
      </c>
      <c r="I126" s="18">
        <f>SUM(I127:I129)</f>
        <v>91</v>
      </c>
      <c r="J126" s="17" t="s">
        <v>221</v>
      </c>
      <c r="K126" s="19" t="s">
        <v>20</v>
      </c>
      <c r="L126" s="19">
        <v>100</v>
      </c>
      <c r="M126" s="19">
        <v>100</v>
      </c>
      <c r="N126" s="43">
        <v>100</v>
      </c>
    </row>
    <row r="127" spans="1:14" ht="15" customHeight="1" x14ac:dyDescent="0.25">
      <c r="A127" s="56"/>
      <c r="B127" s="59"/>
      <c r="C127" s="59"/>
      <c r="D127" s="20" t="s">
        <v>200</v>
      </c>
      <c r="E127" s="20"/>
      <c r="F127" s="21">
        <v>42</v>
      </c>
      <c r="G127" s="21">
        <v>42</v>
      </c>
      <c r="H127" s="21">
        <v>91</v>
      </c>
      <c r="I127" s="21">
        <v>91</v>
      </c>
      <c r="J127" s="20" t="s">
        <v>222</v>
      </c>
      <c r="K127" s="22" t="s">
        <v>223</v>
      </c>
      <c r="L127" s="46">
        <v>9596</v>
      </c>
      <c r="M127" s="46">
        <v>7000</v>
      </c>
      <c r="N127" s="47">
        <v>7000</v>
      </c>
    </row>
    <row r="128" spans="1:14" x14ac:dyDescent="0.25">
      <c r="A128" s="56"/>
      <c r="B128" s="59"/>
      <c r="C128" s="59"/>
      <c r="D128" s="20" t="s">
        <v>121</v>
      </c>
      <c r="E128" s="20"/>
      <c r="F128" s="21">
        <v>2</v>
      </c>
      <c r="G128" s="21">
        <v>2.2999999999999998</v>
      </c>
      <c r="H128" s="21">
        <v>0</v>
      </c>
      <c r="I128" s="21">
        <v>0</v>
      </c>
      <c r="J128" s="20" t="s">
        <v>224</v>
      </c>
      <c r="K128" s="22" t="s">
        <v>24</v>
      </c>
      <c r="L128" s="22">
        <v>100</v>
      </c>
      <c r="M128" s="22">
        <v>100</v>
      </c>
      <c r="N128" s="44">
        <v>100</v>
      </c>
    </row>
    <row r="129" spans="1:14" ht="30.75" thickBot="1" x14ac:dyDescent="0.3">
      <c r="A129" s="57"/>
      <c r="B129" s="60"/>
      <c r="C129" s="60"/>
      <c r="D129" s="20" t="s">
        <v>225</v>
      </c>
      <c r="E129" s="20"/>
      <c r="F129" s="21">
        <v>363.9</v>
      </c>
      <c r="G129" s="21">
        <v>363.9</v>
      </c>
      <c r="H129" s="21">
        <v>0</v>
      </c>
      <c r="I129" s="21">
        <v>0</v>
      </c>
      <c r="J129" s="20" t="s">
        <v>226</v>
      </c>
      <c r="K129" s="22" t="s">
        <v>223</v>
      </c>
      <c r="L129" s="46">
        <v>10000</v>
      </c>
      <c r="M129" s="46">
        <v>10000</v>
      </c>
      <c r="N129" s="47">
        <v>10000</v>
      </c>
    </row>
    <row r="130" spans="1:14" ht="26.25" customHeight="1" thickBot="1" x14ac:dyDescent="0.3">
      <c r="A130" s="15" t="s">
        <v>227</v>
      </c>
      <c r="B130" s="72" t="s">
        <v>228</v>
      </c>
      <c r="C130" s="73"/>
      <c r="D130" s="73"/>
      <c r="E130" s="74"/>
      <c r="F130" s="16">
        <f>F131+F134+F138+F141+F145+F146</f>
        <v>1293.5</v>
      </c>
      <c r="G130" s="16">
        <f>G131+G134+G138+G141+G145+G146</f>
        <v>1209</v>
      </c>
      <c r="H130" s="16">
        <f>H131+H134+H138+H141+H145+H146</f>
        <v>325.7</v>
      </c>
      <c r="I130" s="16">
        <f>I131+I134+I138+I141+I145+I146</f>
        <v>325.7</v>
      </c>
      <c r="J130" s="61"/>
      <c r="K130" s="62"/>
      <c r="L130" s="62"/>
      <c r="M130" s="62"/>
      <c r="N130" s="63"/>
    </row>
    <row r="131" spans="1:14" x14ac:dyDescent="0.25">
      <c r="A131" s="55" t="s">
        <v>229</v>
      </c>
      <c r="B131" s="58" t="s">
        <v>230</v>
      </c>
      <c r="C131" s="58" t="s">
        <v>185</v>
      </c>
      <c r="D131" s="17"/>
      <c r="E131" s="17"/>
      <c r="F131" s="18">
        <f>SUM(F132:F133)</f>
        <v>170</v>
      </c>
      <c r="G131" s="18">
        <f>SUM(G132:G133)</f>
        <v>170</v>
      </c>
      <c r="H131" s="18">
        <f>SUM(H132:H133)</f>
        <v>170</v>
      </c>
      <c r="I131" s="18">
        <f>SUM(I132:I133)</f>
        <v>170</v>
      </c>
      <c r="J131" s="17" t="s">
        <v>231</v>
      </c>
      <c r="K131" s="19" t="s">
        <v>24</v>
      </c>
      <c r="L131" s="19">
        <v>70</v>
      </c>
      <c r="M131" s="19">
        <v>70</v>
      </c>
      <c r="N131" s="43">
        <v>70</v>
      </c>
    </row>
    <row r="132" spans="1:14" ht="30" x14ac:dyDescent="0.25">
      <c r="A132" s="56"/>
      <c r="B132" s="59"/>
      <c r="C132" s="59"/>
      <c r="D132" s="20" t="s">
        <v>30</v>
      </c>
      <c r="E132" s="20"/>
      <c r="F132" s="21">
        <v>26</v>
      </c>
      <c r="G132" s="21">
        <v>26</v>
      </c>
      <c r="H132" s="21">
        <v>50</v>
      </c>
      <c r="I132" s="21">
        <v>50</v>
      </c>
      <c r="J132" s="20" t="s">
        <v>232</v>
      </c>
      <c r="K132" s="22" t="s">
        <v>20</v>
      </c>
      <c r="L132" s="22">
        <v>10</v>
      </c>
      <c r="M132" s="22">
        <v>30</v>
      </c>
      <c r="N132" s="44">
        <v>50</v>
      </c>
    </row>
    <row r="133" spans="1:14" ht="15.75" thickBot="1" x14ac:dyDescent="0.3">
      <c r="A133" s="57"/>
      <c r="B133" s="60"/>
      <c r="C133" s="60"/>
      <c r="D133" s="20" t="s">
        <v>200</v>
      </c>
      <c r="E133" s="20"/>
      <c r="F133" s="21">
        <v>144</v>
      </c>
      <c r="G133" s="21">
        <v>144</v>
      </c>
      <c r="H133" s="21">
        <v>120</v>
      </c>
      <c r="I133" s="21">
        <v>120</v>
      </c>
      <c r="J133" s="20"/>
      <c r="K133" s="22"/>
      <c r="L133" s="22"/>
      <c r="M133" s="22"/>
      <c r="N133" s="44"/>
    </row>
    <row r="134" spans="1:14" ht="30" x14ac:dyDescent="0.25">
      <c r="A134" s="55" t="s">
        <v>233</v>
      </c>
      <c r="B134" s="58" t="s">
        <v>234</v>
      </c>
      <c r="C134" s="58" t="s">
        <v>235</v>
      </c>
      <c r="D134" s="17"/>
      <c r="E134" s="17"/>
      <c r="F134" s="18">
        <f>SUM(F135:F137)</f>
        <v>177.4</v>
      </c>
      <c r="G134" s="18">
        <f>SUM(G135:G137)</f>
        <v>174.4</v>
      </c>
      <c r="H134" s="18">
        <f>SUM(H135:H137)</f>
        <v>102.7</v>
      </c>
      <c r="I134" s="18">
        <f>SUM(I135:I137)</f>
        <v>102.7</v>
      </c>
      <c r="J134" s="17" t="s">
        <v>236</v>
      </c>
      <c r="K134" s="19" t="s">
        <v>24</v>
      </c>
      <c r="L134" s="19">
        <v>1</v>
      </c>
      <c r="M134" s="19">
        <v>1</v>
      </c>
      <c r="N134" s="43">
        <v>1</v>
      </c>
    </row>
    <row r="135" spans="1:14" x14ac:dyDescent="0.25">
      <c r="A135" s="56"/>
      <c r="B135" s="59"/>
      <c r="C135" s="59"/>
      <c r="D135" s="20" t="s">
        <v>30</v>
      </c>
      <c r="E135" s="20"/>
      <c r="F135" s="21">
        <v>99.7</v>
      </c>
      <c r="G135" s="21">
        <v>96.7</v>
      </c>
      <c r="H135" s="21">
        <v>99.7</v>
      </c>
      <c r="I135" s="21">
        <v>99.7</v>
      </c>
      <c r="J135" s="20" t="s">
        <v>237</v>
      </c>
      <c r="K135" s="22" t="s">
        <v>24</v>
      </c>
      <c r="L135" s="22">
        <v>1</v>
      </c>
      <c r="M135" s="22">
        <v>1</v>
      </c>
      <c r="N135" s="44">
        <v>1</v>
      </c>
    </row>
    <row r="136" spans="1:14" x14ac:dyDescent="0.25">
      <c r="A136" s="56"/>
      <c r="B136" s="59"/>
      <c r="C136" s="59"/>
      <c r="D136" s="20" t="s">
        <v>35</v>
      </c>
      <c r="E136" s="20"/>
      <c r="F136" s="21">
        <v>74.7</v>
      </c>
      <c r="G136" s="21">
        <v>74.7</v>
      </c>
      <c r="H136" s="21"/>
      <c r="I136" s="21"/>
      <c r="J136" s="20"/>
      <c r="K136" s="22"/>
      <c r="L136" s="22"/>
      <c r="M136" s="22"/>
      <c r="N136" s="44"/>
    </row>
    <row r="137" spans="1:14" ht="15.75" thickBot="1" x14ac:dyDescent="0.3">
      <c r="A137" s="57"/>
      <c r="B137" s="60"/>
      <c r="C137" s="60"/>
      <c r="D137" s="20" t="s">
        <v>128</v>
      </c>
      <c r="E137" s="20"/>
      <c r="F137" s="21">
        <v>3</v>
      </c>
      <c r="G137" s="21">
        <v>3</v>
      </c>
      <c r="H137" s="21">
        <v>3</v>
      </c>
      <c r="I137" s="21">
        <v>3</v>
      </c>
      <c r="J137" s="20"/>
      <c r="K137" s="22"/>
      <c r="L137" s="22"/>
      <c r="M137" s="22"/>
      <c r="N137" s="44"/>
    </row>
    <row r="138" spans="1:14" ht="30" x14ac:dyDescent="0.25">
      <c r="A138" s="55" t="s">
        <v>238</v>
      </c>
      <c r="B138" s="58" t="s">
        <v>239</v>
      </c>
      <c r="C138" s="58" t="s">
        <v>185</v>
      </c>
      <c r="D138" s="17"/>
      <c r="E138" s="17"/>
      <c r="F138" s="18">
        <f>SUM(F139:F140)</f>
        <v>73</v>
      </c>
      <c r="G138" s="18">
        <f>SUM(G139:G140)</f>
        <v>75</v>
      </c>
      <c r="H138" s="18">
        <f>SUM(H139:H140)</f>
        <v>33</v>
      </c>
      <c r="I138" s="18">
        <f>SUM(I139:I140)</f>
        <v>33</v>
      </c>
      <c r="J138" s="17" t="s">
        <v>240</v>
      </c>
      <c r="K138" s="19" t="s">
        <v>189</v>
      </c>
      <c r="L138" s="19">
        <v>230</v>
      </c>
      <c r="M138" s="19">
        <v>230</v>
      </c>
      <c r="N138" s="43">
        <v>230</v>
      </c>
    </row>
    <row r="139" spans="1:14" ht="30" x14ac:dyDescent="0.25">
      <c r="A139" s="56"/>
      <c r="B139" s="59"/>
      <c r="C139" s="59"/>
      <c r="D139" s="20" t="s">
        <v>200</v>
      </c>
      <c r="E139" s="20"/>
      <c r="F139" s="21">
        <v>63</v>
      </c>
      <c r="G139" s="21">
        <v>65</v>
      </c>
      <c r="H139" s="21">
        <v>33</v>
      </c>
      <c r="I139" s="21">
        <v>33</v>
      </c>
      <c r="J139" s="20" t="s">
        <v>241</v>
      </c>
      <c r="K139" s="22" t="s">
        <v>24</v>
      </c>
      <c r="L139" s="22">
        <v>1</v>
      </c>
      <c r="M139" s="22"/>
      <c r="N139" s="44"/>
    </row>
    <row r="140" spans="1:14" ht="30.75" thickBot="1" x14ac:dyDescent="0.3">
      <c r="A140" s="57"/>
      <c r="B140" s="60"/>
      <c r="C140" s="60"/>
      <c r="D140" s="20" t="s">
        <v>30</v>
      </c>
      <c r="E140" s="20"/>
      <c r="F140" s="21">
        <v>10</v>
      </c>
      <c r="G140" s="21">
        <v>10</v>
      </c>
      <c r="H140" s="21">
        <v>0</v>
      </c>
      <c r="I140" s="21">
        <v>0</v>
      </c>
      <c r="J140" s="20" t="s">
        <v>242</v>
      </c>
      <c r="K140" s="22" t="s">
        <v>243</v>
      </c>
      <c r="L140" s="46">
        <v>15000</v>
      </c>
      <c r="M140" s="46">
        <v>15000</v>
      </c>
      <c r="N140" s="47">
        <v>15000</v>
      </c>
    </row>
    <row r="141" spans="1:14" ht="30" x14ac:dyDescent="0.25">
      <c r="A141" s="55" t="s">
        <v>244</v>
      </c>
      <c r="B141" s="58" t="s">
        <v>245</v>
      </c>
      <c r="C141" s="58" t="s">
        <v>204</v>
      </c>
      <c r="D141" s="17"/>
      <c r="E141" s="17"/>
      <c r="F141" s="18">
        <f>SUM(F142:F144)</f>
        <v>853.1</v>
      </c>
      <c r="G141" s="18">
        <f>SUM(G142:G144)</f>
        <v>771.6</v>
      </c>
      <c r="H141" s="18">
        <f>SUM(H142:H144)</f>
        <v>0</v>
      </c>
      <c r="I141" s="18">
        <f>SUM(I142:I144)</f>
        <v>0</v>
      </c>
      <c r="J141" s="17" t="s">
        <v>246</v>
      </c>
      <c r="K141" s="19" t="s">
        <v>247</v>
      </c>
      <c r="L141" s="19">
        <v>13</v>
      </c>
      <c r="M141" s="19"/>
      <c r="N141" s="43"/>
    </row>
    <row r="142" spans="1:14" x14ac:dyDescent="0.25">
      <c r="A142" s="56"/>
      <c r="B142" s="59"/>
      <c r="C142" s="59"/>
      <c r="D142" s="20" t="s">
        <v>35</v>
      </c>
      <c r="E142" s="20"/>
      <c r="F142" s="21">
        <v>146</v>
      </c>
      <c r="G142" s="21">
        <v>146</v>
      </c>
      <c r="H142" s="21">
        <v>0</v>
      </c>
      <c r="I142" s="21">
        <v>0</v>
      </c>
      <c r="J142" s="20" t="s">
        <v>168</v>
      </c>
      <c r="K142" s="22" t="s">
        <v>20</v>
      </c>
      <c r="L142" s="22">
        <v>100</v>
      </c>
      <c r="M142" s="22"/>
      <c r="N142" s="44"/>
    </row>
    <row r="143" spans="1:14" x14ac:dyDescent="0.25">
      <c r="A143" s="56"/>
      <c r="B143" s="59"/>
      <c r="C143" s="59"/>
      <c r="D143" s="20" t="s">
        <v>30</v>
      </c>
      <c r="E143" s="20"/>
      <c r="F143" s="21">
        <v>81.5</v>
      </c>
      <c r="G143" s="21"/>
      <c r="H143" s="21"/>
      <c r="I143" s="21"/>
      <c r="J143" s="20"/>
      <c r="K143" s="22"/>
      <c r="L143" s="22"/>
      <c r="M143" s="22"/>
      <c r="N143" s="44"/>
    </row>
    <row r="144" spans="1:14" ht="15.75" thickBot="1" x14ac:dyDescent="0.3">
      <c r="A144" s="57"/>
      <c r="B144" s="60"/>
      <c r="C144" s="60"/>
      <c r="D144" s="20" t="s">
        <v>136</v>
      </c>
      <c r="E144" s="20"/>
      <c r="F144" s="21">
        <v>625.6</v>
      </c>
      <c r="G144" s="21">
        <v>625.6</v>
      </c>
      <c r="H144" s="21"/>
      <c r="I144" s="21"/>
      <c r="J144" s="20"/>
      <c r="K144" s="22"/>
      <c r="L144" s="22"/>
      <c r="M144" s="22"/>
      <c r="N144" s="44"/>
    </row>
    <row r="145" spans="1:14" ht="60.75" thickBot="1" x14ac:dyDescent="0.3">
      <c r="A145" s="23" t="s">
        <v>248</v>
      </c>
      <c r="B145" s="24" t="s">
        <v>249</v>
      </c>
      <c r="C145" s="17" t="s">
        <v>250</v>
      </c>
      <c r="D145" s="17" t="s">
        <v>200</v>
      </c>
      <c r="E145" s="17"/>
      <c r="F145" s="25">
        <v>5</v>
      </c>
      <c r="G145" s="25">
        <v>3</v>
      </c>
      <c r="H145" s="25">
        <v>5</v>
      </c>
      <c r="I145" s="25">
        <v>5</v>
      </c>
      <c r="J145" s="17" t="s">
        <v>251</v>
      </c>
      <c r="K145" s="19" t="s">
        <v>20</v>
      </c>
      <c r="L145" s="19">
        <v>100</v>
      </c>
      <c r="M145" s="19">
        <v>100</v>
      </c>
      <c r="N145" s="43">
        <v>100</v>
      </c>
    </row>
    <row r="146" spans="1:14" ht="105.75" thickBot="1" x14ac:dyDescent="0.3">
      <c r="A146" s="23" t="s">
        <v>252</v>
      </c>
      <c r="B146" s="24" t="s">
        <v>253</v>
      </c>
      <c r="C146" s="17" t="s">
        <v>185</v>
      </c>
      <c r="D146" s="17" t="s">
        <v>30</v>
      </c>
      <c r="E146" s="17"/>
      <c r="F146" s="25">
        <v>15</v>
      </c>
      <c r="G146" s="25">
        <v>15</v>
      </c>
      <c r="H146" s="25">
        <v>15</v>
      </c>
      <c r="I146" s="25">
        <v>15</v>
      </c>
      <c r="J146" s="17" t="s">
        <v>254</v>
      </c>
      <c r="K146" s="19" t="s">
        <v>255</v>
      </c>
      <c r="L146" s="19">
        <v>16</v>
      </c>
      <c r="M146" s="19">
        <v>16</v>
      </c>
      <c r="N146" s="43">
        <v>17</v>
      </c>
    </row>
    <row r="147" spans="1:14" ht="26.25" customHeight="1" thickBot="1" x14ac:dyDescent="0.3">
      <c r="A147" s="15" t="s">
        <v>256</v>
      </c>
      <c r="B147" s="72" t="s">
        <v>257</v>
      </c>
      <c r="C147" s="73"/>
      <c r="D147" s="73"/>
      <c r="E147" s="74"/>
      <c r="F147" s="16">
        <f>SUM(F148:F149)</f>
        <v>11</v>
      </c>
      <c r="G147" s="16">
        <f>SUM(G148:G149)</f>
        <v>11</v>
      </c>
      <c r="H147" s="16">
        <f>SUM(H148:H149)</f>
        <v>11</v>
      </c>
      <c r="I147" s="16">
        <f>SUM(I148:I149)</f>
        <v>11</v>
      </c>
      <c r="J147" s="61"/>
      <c r="K147" s="62"/>
      <c r="L147" s="62"/>
      <c r="M147" s="62"/>
      <c r="N147" s="63"/>
    </row>
    <row r="148" spans="1:14" ht="45.75" thickBot="1" x14ac:dyDescent="0.3">
      <c r="A148" s="23" t="s">
        <v>258</v>
      </c>
      <c r="B148" s="24" t="s">
        <v>259</v>
      </c>
      <c r="C148" s="17" t="s">
        <v>185</v>
      </c>
      <c r="D148" s="17" t="s">
        <v>200</v>
      </c>
      <c r="E148" s="17"/>
      <c r="F148" s="25">
        <v>8</v>
      </c>
      <c r="G148" s="25">
        <v>8</v>
      </c>
      <c r="H148" s="25">
        <v>8</v>
      </c>
      <c r="I148" s="25">
        <v>8</v>
      </c>
      <c r="J148" s="17" t="s">
        <v>260</v>
      </c>
      <c r="K148" s="19" t="s">
        <v>24</v>
      </c>
      <c r="L148" s="19">
        <v>5</v>
      </c>
      <c r="M148" s="19">
        <v>5</v>
      </c>
      <c r="N148" s="43">
        <v>5</v>
      </c>
    </row>
    <row r="149" spans="1:14" x14ac:dyDescent="0.25">
      <c r="A149" s="55" t="s">
        <v>261</v>
      </c>
      <c r="B149" s="58" t="s">
        <v>262</v>
      </c>
      <c r="C149" s="58" t="s">
        <v>185</v>
      </c>
      <c r="D149" s="17" t="s">
        <v>200</v>
      </c>
      <c r="E149" s="17"/>
      <c r="F149" s="18">
        <f>SUM(F150:F151)+3</f>
        <v>3</v>
      </c>
      <c r="G149" s="18">
        <f>SUM(G150:G151)+3</f>
        <v>3</v>
      </c>
      <c r="H149" s="18">
        <f>SUM(H150:H151)+3</f>
        <v>3</v>
      </c>
      <c r="I149" s="18">
        <f>SUM(I150:I151)+3</f>
        <v>3</v>
      </c>
      <c r="J149" s="17" t="s">
        <v>263</v>
      </c>
      <c r="K149" s="19" t="s">
        <v>24</v>
      </c>
      <c r="L149" s="19">
        <v>40</v>
      </c>
      <c r="M149" s="19">
        <v>40</v>
      </c>
      <c r="N149" s="43">
        <v>40</v>
      </c>
    </row>
    <row r="150" spans="1:14" ht="30" x14ac:dyDescent="0.25">
      <c r="A150" s="56"/>
      <c r="B150" s="59"/>
      <c r="C150" s="59"/>
      <c r="D150" s="20"/>
      <c r="E150" s="20"/>
      <c r="F150" s="21">
        <v>0</v>
      </c>
      <c r="G150" s="21">
        <v>0</v>
      </c>
      <c r="H150" s="21">
        <v>0</v>
      </c>
      <c r="I150" s="21">
        <v>0</v>
      </c>
      <c r="J150" s="20" t="s">
        <v>264</v>
      </c>
      <c r="K150" s="22" t="s">
        <v>24</v>
      </c>
      <c r="L150" s="22">
        <v>2</v>
      </c>
      <c r="M150" s="22">
        <v>2</v>
      </c>
      <c r="N150" s="44">
        <v>2</v>
      </c>
    </row>
    <row r="151" spans="1:14" ht="30.75" thickBot="1" x14ac:dyDescent="0.3">
      <c r="A151" s="57"/>
      <c r="B151" s="60"/>
      <c r="C151" s="60"/>
      <c r="D151" s="20"/>
      <c r="E151" s="20"/>
      <c r="F151" s="21">
        <v>0</v>
      </c>
      <c r="G151" s="21">
        <v>0</v>
      </c>
      <c r="H151" s="21">
        <v>0</v>
      </c>
      <c r="I151" s="21">
        <v>0</v>
      </c>
      <c r="J151" s="20" t="s">
        <v>265</v>
      </c>
      <c r="K151" s="22" t="s">
        <v>24</v>
      </c>
      <c r="L151" s="22">
        <v>2</v>
      </c>
      <c r="M151" s="22">
        <v>2</v>
      </c>
      <c r="N151" s="44">
        <v>2</v>
      </c>
    </row>
    <row r="152" spans="1:14" ht="26.25" customHeight="1" thickBot="1" x14ac:dyDescent="0.3">
      <c r="A152" s="15" t="s">
        <v>266</v>
      </c>
      <c r="B152" s="72" t="s">
        <v>267</v>
      </c>
      <c r="C152" s="73"/>
      <c r="D152" s="73"/>
      <c r="E152" s="74"/>
      <c r="F152" s="16">
        <f>F153+F155</f>
        <v>740.9</v>
      </c>
      <c r="G152" s="16">
        <f>G153+G155</f>
        <v>740.9</v>
      </c>
      <c r="H152" s="16">
        <f>H153+H155</f>
        <v>25.1</v>
      </c>
      <c r="I152" s="16">
        <f>I153+I155</f>
        <v>25.1</v>
      </c>
      <c r="J152" s="61"/>
      <c r="K152" s="62"/>
      <c r="L152" s="62"/>
      <c r="M152" s="62"/>
      <c r="N152" s="63"/>
    </row>
    <row r="153" spans="1:14" ht="30" x14ac:dyDescent="0.25">
      <c r="A153" s="55" t="s">
        <v>268</v>
      </c>
      <c r="B153" s="58" t="s">
        <v>269</v>
      </c>
      <c r="C153" s="58" t="s">
        <v>185</v>
      </c>
      <c r="D153" s="17"/>
      <c r="E153" s="17"/>
      <c r="F153" s="18">
        <f>SUM(F154:F154)</f>
        <v>24</v>
      </c>
      <c r="G153" s="18">
        <f>SUM(G154:G154)</f>
        <v>24</v>
      </c>
      <c r="H153" s="18">
        <f>SUM(H154:H154)</f>
        <v>0</v>
      </c>
      <c r="I153" s="18">
        <f>SUM(I154:I154)</f>
        <v>0</v>
      </c>
      <c r="J153" s="17" t="s">
        <v>270</v>
      </c>
      <c r="K153" s="19" t="s">
        <v>24</v>
      </c>
      <c r="L153" s="19">
        <v>1</v>
      </c>
      <c r="M153" s="19">
        <v>0</v>
      </c>
      <c r="N153" s="43">
        <v>0</v>
      </c>
    </row>
    <row r="154" spans="1:14" ht="15.75" thickBot="1" x14ac:dyDescent="0.3">
      <c r="A154" s="57"/>
      <c r="B154" s="60"/>
      <c r="C154" s="60"/>
      <c r="D154" s="20" t="s">
        <v>30</v>
      </c>
      <c r="E154" s="20"/>
      <c r="F154" s="21">
        <v>24</v>
      </c>
      <c r="G154" s="21">
        <v>24</v>
      </c>
      <c r="H154" s="21">
        <v>0</v>
      </c>
      <c r="I154" s="21">
        <v>0</v>
      </c>
      <c r="J154" s="20"/>
      <c r="K154" s="22"/>
      <c r="L154" s="22"/>
      <c r="M154" s="22"/>
      <c r="N154" s="44"/>
    </row>
    <row r="155" spans="1:14" ht="30" x14ac:dyDescent="0.25">
      <c r="A155" s="55" t="s">
        <v>271</v>
      </c>
      <c r="B155" s="58" t="s">
        <v>272</v>
      </c>
      <c r="C155" s="58" t="s">
        <v>273</v>
      </c>
      <c r="D155" s="17"/>
      <c r="E155" s="17"/>
      <c r="F155" s="18">
        <f>SUM(F156:F158)</f>
        <v>716.9</v>
      </c>
      <c r="G155" s="18">
        <f>SUM(G156:G158)</f>
        <v>716.9</v>
      </c>
      <c r="H155" s="18">
        <f>SUM(H156:H158)</f>
        <v>25.1</v>
      </c>
      <c r="I155" s="18">
        <f>SUM(I156:I158)</f>
        <v>25.1</v>
      </c>
      <c r="J155" s="17" t="s">
        <v>274</v>
      </c>
      <c r="K155" s="19" t="s">
        <v>275</v>
      </c>
      <c r="L155" s="19">
        <v>512</v>
      </c>
      <c r="M155" s="19"/>
      <c r="N155" s="43"/>
    </row>
    <row r="156" spans="1:14" ht="30" x14ac:dyDescent="0.25">
      <c r="A156" s="56"/>
      <c r="B156" s="59"/>
      <c r="C156" s="59"/>
      <c r="D156" s="20" t="s">
        <v>30</v>
      </c>
      <c r="E156" s="20"/>
      <c r="F156" s="21">
        <v>525</v>
      </c>
      <c r="G156" s="21">
        <v>525</v>
      </c>
      <c r="H156" s="21">
        <v>25.1</v>
      </c>
      <c r="I156" s="21">
        <v>25.1</v>
      </c>
      <c r="J156" s="20" t="s">
        <v>276</v>
      </c>
      <c r="K156" s="22" t="s">
        <v>20</v>
      </c>
      <c r="L156" s="22"/>
      <c r="M156" s="22">
        <v>100</v>
      </c>
      <c r="N156" s="44">
        <v>100</v>
      </c>
    </row>
    <row r="157" spans="1:14" x14ac:dyDescent="0.25">
      <c r="A157" s="56"/>
      <c r="B157" s="59"/>
      <c r="C157" s="59"/>
      <c r="D157" s="20" t="s">
        <v>35</v>
      </c>
      <c r="E157" s="20"/>
      <c r="F157" s="21">
        <v>69.900000000000006</v>
      </c>
      <c r="G157" s="21">
        <v>69.900000000000006</v>
      </c>
      <c r="H157" s="21"/>
      <c r="I157" s="21"/>
      <c r="J157" s="20"/>
      <c r="K157" s="22"/>
      <c r="L157" s="22"/>
      <c r="M157" s="22"/>
      <c r="N157" s="44"/>
    </row>
    <row r="158" spans="1:14" ht="15.75" thickBot="1" x14ac:dyDescent="0.3">
      <c r="A158" s="57"/>
      <c r="B158" s="60"/>
      <c r="C158" s="60"/>
      <c r="D158" s="20" t="s">
        <v>121</v>
      </c>
      <c r="E158" s="20"/>
      <c r="F158" s="21">
        <v>122</v>
      </c>
      <c r="G158" s="21">
        <v>122</v>
      </c>
      <c r="H158" s="21"/>
      <c r="I158" s="21"/>
      <c r="J158" s="20"/>
      <c r="K158" s="22"/>
      <c r="L158" s="22"/>
      <c r="M158" s="22"/>
      <c r="N158" s="44"/>
    </row>
    <row r="159" spans="1:14" ht="45.75" thickBot="1" x14ac:dyDescent="0.3">
      <c r="A159" s="8" t="s">
        <v>277</v>
      </c>
      <c r="B159" s="9" t="s">
        <v>278</v>
      </c>
      <c r="C159" s="87" t="s">
        <v>185</v>
      </c>
      <c r="D159" s="88"/>
      <c r="E159" s="89"/>
      <c r="F159" s="10">
        <f>F160+F211</f>
        <v>22232.9</v>
      </c>
      <c r="G159" s="10">
        <f>G160+G211</f>
        <v>31209.699999999997</v>
      </c>
      <c r="H159" s="10">
        <f>H160+H211</f>
        <v>20823.8</v>
      </c>
      <c r="I159" s="10">
        <f>I160+I211</f>
        <v>21653.3</v>
      </c>
      <c r="J159" s="90"/>
      <c r="K159" s="91"/>
      <c r="L159" s="91"/>
      <c r="M159" s="91"/>
      <c r="N159" s="92"/>
    </row>
    <row r="160" spans="1:14" ht="42.75" customHeight="1" thickBot="1" x14ac:dyDescent="0.3">
      <c r="A160" s="11" t="s">
        <v>279</v>
      </c>
      <c r="B160" s="93" t="s">
        <v>280</v>
      </c>
      <c r="C160" s="94"/>
      <c r="D160" s="94"/>
      <c r="E160" s="95"/>
      <c r="F160" s="12">
        <f>F161+F170+F182</f>
        <v>11961.1</v>
      </c>
      <c r="G160" s="12">
        <f>G161+G170+G182</f>
        <v>17531.3</v>
      </c>
      <c r="H160" s="12">
        <f>H161+H170+H182</f>
        <v>9306.7999999999993</v>
      </c>
      <c r="I160" s="12">
        <f>I161+I170+I182</f>
        <v>9706.2999999999993</v>
      </c>
      <c r="J160" s="13" t="s">
        <v>281</v>
      </c>
      <c r="K160" s="14" t="s">
        <v>20</v>
      </c>
      <c r="L160" s="14">
        <v>100</v>
      </c>
      <c r="M160" s="14">
        <v>100</v>
      </c>
      <c r="N160" s="42">
        <v>100</v>
      </c>
    </row>
    <row r="161" spans="1:14" ht="27.75" customHeight="1" thickBot="1" x14ac:dyDescent="0.3">
      <c r="A161" s="15" t="s">
        <v>282</v>
      </c>
      <c r="B161" s="72" t="s">
        <v>283</v>
      </c>
      <c r="C161" s="73"/>
      <c r="D161" s="73"/>
      <c r="E161" s="74"/>
      <c r="F161" s="16">
        <f>F162+F167</f>
        <v>8255.7000000000007</v>
      </c>
      <c r="G161" s="16">
        <f>G162+G167</f>
        <v>9465.9</v>
      </c>
      <c r="H161" s="16">
        <f>H162+H167</f>
        <v>8665.5</v>
      </c>
      <c r="I161" s="16">
        <f>I162+I167</f>
        <v>9106.2999999999993</v>
      </c>
      <c r="J161" s="61"/>
      <c r="K161" s="62"/>
      <c r="L161" s="62"/>
      <c r="M161" s="62"/>
      <c r="N161" s="63"/>
    </row>
    <row r="162" spans="1:14" ht="90" x14ac:dyDescent="0.25">
      <c r="A162" s="55" t="s">
        <v>284</v>
      </c>
      <c r="B162" s="58" t="s">
        <v>285</v>
      </c>
      <c r="C162" s="58" t="s">
        <v>286</v>
      </c>
      <c r="D162" s="17"/>
      <c r="E162" s="17"/>
      <c r="F162" s="18">
        <f>SUM(F163:F166)</f>
        <v>7955.7</v>
      </c>
      <c r="G162" s="18">
        <f>SUM(G163:G166)</f>
        <v>8965.9</v>
      </c>
      <c r="H162" s="18">
        <f>SUM(H163:H166)</f>
        <v>7365.5</v>
      </c>
      <c r="I162" s="18">
        <f>SUM(I163:I166)</f>
        <v>7366.3</v>
      </c>
      <c r="J162" s="17" t="s">
        <v>287</v>
      </c>
      <c r="K162" s="19" t="s">
        <v>20</v>
      </c>
      <c r="L162" s="19">
        <v>100</v>
      </c>
      <c r="M162" s="19">
        <v>100</v>
      </c>
      <c r="N162" s="43">
        <v>100</v>
      </c>
    </row>
    <row r="163" spans="1:14" ht="60" x14ac:dyDescent="0.25">
      <c r="A163" s="56"/>
      <c r="B163" s="59"/>
      <c r="C163" s="59"/>
      <c r="D163" s="20" t="s">
        <v>35</v>
      </c>
      <c r="E163" s="20"/>
      <c r="F163" s="21">
        <v>550</v>
      </c>
      <c r="G163" s="21">
        <v>670</v>
      </c>
      <c r="H163" s="21">
        <v>0</v>
      </c>
      <c r="I163" s="21">
        <v>0</v>
      </c>
      <c r="J163" s="20" t="s">
        <v>288</v>
      </c>
      <c r="K163" s="22" t="s">
        <v>20</v>
      </c>
      <c r="L163" s="22">
        <v>100</v>
      </c>
      <c r="M163" s="22">
        <v>100</v>
      </c>
      <c r="N163" s="44">
        <v>100</v>
      </c>
    </row>
    <row r="164" spans="1:14" x14ac:dyDescent="0.25">
      <c r="A164" s="56"/>
      <c r="B164" s="59"/>
      <c r="C164" s="59"/>
      <c r="D164" s="20" t="s">
        <v>289</v>
      </c>
      <c r="E164" s="20"/>
      <c r="F164" s="21">
        <v>355</v>
      </c>
      <c r="G164" s="21">
        <v>741.8</v>
      </c>
      <c r="H164" s="21">
        <v>360</v>
      </c>
      <c r="I164" s="21">
        <v>360</v>
      </c>
      <c r="J164" s="20" t="s">
        <v>290</v>
      </c>
      <c r="K164" s="22" t="s">
        <v>223</v>
      </c>
      <c r="L164" s="46">
        <v>36000</v>
      </c>
      <c r="M164" s="22">
        <v>0</v>
      </c>
      <c r="N164" s="44">
        <v>0</v>
      </c>
    </row>
    <row r="165" spans="1:14" x14ac:dyDescent="0.25">
      <c r="A165" s="56"/>
      <c r="B165" s="59"/>
      <c r="C165" s="59"/>
      <c r="D165" s="20" t="s">
        <v>30</v>
      </c>
      <c r="E165" s="20"/>
      <c r="F165" s="21">
        <v>7039.9</v>
      </c>
      <c r="G165" s="21">
        <v>7543.3</v>
      </c>
      <c r="H165" s="21">
        <v>7005.5</v>
      </c>
      <c r="I165" s="21">
        <v>7006.3</v>
      </c>
      <c r="J165" s="20" t="s">
        <v>291</v>
      </c>
      <c r="K165" s="22" t="s">
        <v>24</v>
      </c>
      <c r="L165" s="22">
        <v>76</v>
      </c>
      <c r="M165" s="22">
        <v>0</v>
      </c>
      <c r="N165" s="44">
        <v>0</v>
      </c>
    </row>
    <row r="166" spans="1:14" ht="15.75" thickBot="1" x14ac:dyDescent="0.3">
      <c r="A166" s="57"/>
      <c r="B166" s="60"/>
      <c r="C166" s="60"/>
      <c r="D166" s="20" t="s">
        <v>121</v>
      </c>
      <c r="E166" s="20"/>
      <c r="F166" s="21">
        <v>10.8</v>
      </c>
      <c r="G166" s="21">
        <v>10.8</v>
      </c>
      <c r="H166" s="21"/>
      <c r="I166" s="21"/>
      <c r="J166" s="20"/>
      <c r="K166" s="22"/>
      <c r="L166" s="22"/>
      <c r="M166" s="22"/>
      <c r="N166" s="44"/>
    </row>
    <row r="167" spans="1:14" ht="30" x14ac:dyDescent="0.25">
      <c r="A167" s="55" t="s">
        <v>292</v>
      </c>
      <c r="B167" s="58" t="s">
        <v>293</v>
      </c>
      <c r="C167" s="58" t="s">
        <v>185</v>
      </c>
      <c r="D167" s="17"/>
      <c r="E167" s="17"/>
      <c r="F167" s="18">
        <f>SUM(F168:F169)</f>
        <v>300</v>
      </c>
      <c r="G167" s="18">
        <f>SUM(G168:G169)</f>
        <v>500</v>
      </c>
      <c r="H167" s="18">
        <f>SUM(H168:H169)</f>
        <v>1300</v>
      </c>
      <c r="I167" s="18">
        <f>SUM(I168:I169)</f>
        <v>1740</v>
      </c>
      <c r="J167" s="17" t="s">
        <v>294</v>
      </c>
      <c r="K167" s="19" t="s">
        <v>24</v>
      </c>
      <c r="L167" s="19">
        <v>100</v>
      </c>
      <c r="M167" s="19">
        <v>100</v>
      </c>
      <c r="N167" s="43">
        <v>100</v>
      </c>
    </row>
    <row r="168" spans="1:14" ht="30" x14ac:dyDescent="0.25">
      <c r="A168" s="56"/>
      <c r="B168" s="59"/>
      <c r="C168" s="59"/>
      <c r="D168" s="20" t="s">
        <v>144</v>
      </c>
      <c r="E168" s="20"/>
      <c r="F168" s="21">
        <v>0</v>
      </c>
      <c r="G168" s="21">
        <v>200</v>
      </c>
      <c r="H168" s="21">
        <v>0</v>
      </c>
      <c r="I168" s="21">
        <v>0</v>
      </c>
      <c r="J168" s="20" t="s">
        <v>295</v>
      </c>
      <c r="K168" s="22" t="s">
        <v>20</v>
      </c>
      <c r="L168" s="22"/>
      <c r="M168" s="22">
        <v>25</v>
      </c>
      <c r="N168" s="44">
        <v>35</v>
      </c>
    </row>
    <row r="169" spans="1:14" ht="15.75" thickBot="1" x14ac:dyDescent="0.3">
      <c r="A169" s="57"/>
      <c r="B169" s="60"/>
      <c r="C169" s="60"/>
      <c r="D169" s="20" t="s">
        <v>30</v>
      </c>
      <c r="E169" s="20"/>
      <c r="F169" s="21">
        <v>300</v>
      </c>
      <c r="G169" s="21">
        <v>300</v>
      </c>
      <c r="H169" s="21">
        <v>1300</v>
      </c>
      <c r="I169" s="21">
        <v>1740</v>
      </c>
      <c r="J169" s="20"/>
      <c r="K169" s="22"/>
      <c r="L169" s="22"/>
      <c r="M169" s="22"/>
      <c r="N169" s="44"/>
    </row>
    <row r="170" spans="1:14" ht="26.25" customHeight="1" thickBot="1" x14ac:dyDescent="0.3">
      <c r="A170" s="15" t="s">
        <v>296</v>
      </c>
      <c r="B170" s="72" t="s">
        <v>297</v>
      </c>
      <c r="C170" s="73"/>
      <c r="D170" s="73"/>
      <c r="E170" s="74"/>
      <c r="F170" s="16">
        <f>F171+F174+F177+F180</f>
        <v>968.3</v>
      </c>
      <c r="G170" s="16">
        <f>G171+G174+G177+G180</f>
        <v>1130.3999999999999</v>
      </c>
      <c r="H170" s="16">
        <f>H171+H174+H177+H180</f>
        <v>341.3</v>
      </c>
      <c r="I170" s="16">
        <f>I171+I174+I177+I180</f>
        <v>300</v>
      </c>
      <c r="J170" s="61"/>
      <c r="K170" s="62"/>
      <c r="L170" s="62"/>
      <c r="M170" s="62"/>
      <c r="N170" s="63"/>
    </row>
    <row r="171" spans="1:14" x14ac:dyDescent="0.25">
      <c r="A171" s="55" t="s">
        <v>298</v>
      </c>
      <c r="B171" s="58" t="s">
        <v>299</v>
      </c>
      <c r="C171" s="58" t="s">
        <v>185</v>
      </c>
      <c r="D171" s="17" t="s">
        <v>30</v>
      </c>
      <c r="E171" s="17"/>
      <c r="F171" s="18">
        <f>SUM(F172:F173)+333</f>
        <v>333</v>
      </c>
      <c r="G171" s="18">
        <f>SUM(G172:G173)+333</f>
        <v>333</v>
      </c>
      <c r="H171" s="18">
        <f>SUM(H172:H173)+300</f>
        <v>300</v>
      </c>
      <c r="I171" s="18">
        <f>SUM(I172:I173)+300</f>
        <v>300</v>
      </c>
      <c r="J171" s="17" t="s">
        <v>300</v>
      </c>
      <c r="K171" s="19" t="s">
        <v>24</v>
      </c>
      <c r="L171" s="19">
        <v>1</v>
      </c>
      <c r="M171" s="19">
        <v>1</v>
      </c>
      <c r="N171" s="43">
        <v>0</v>
      </c>
    </row>
    <row r="172" spans="1:14" x14ac:dyDescent="0.25">
      <c r="A172" s="56"/>
      <c r="B172" s="59"/>
      <c r="C172" s="59"/>
      <c r="D172" s="20"/>
      <c r="E172" s="20"/>
      <c r="F172" s="21">
        <v>0</v>
      </c>
      <c r="G172" s="21">
        <v>0</v>
      </c>
      <c r="H172" s="21">
        <v>0</v>
      </c>
      <c r="I172" s="21">
        <v>0</v>
      </c>
      <c r="J172" s="20" t="s">
        <v>301</v>
      </c>
      <c r="K172" s="22" t="s">
        <v>302</v>
      </c>
      <c r="L172" s="22">
        <v>0.5</v>
      </c>
      <c r="M172" s="22">
        <v>0.5</v>
      </c>
      <c r="N172" s="44">
        <v>0.5</v>
      </c>
    </row>
    <row r="173" spans="1:14" ht="45.75" thickBot="1" x14ac:dyDescent="0.3">
      <c r="A173" s="57"/>
      <c r="B173" s="60"/>
      <c r="C173" s="60"/>
      <c r="D173" s="20"/>
      <c r="E173" s="20"/>
      <c r="F173" s="21">
        <v>0</v>
      </c>
      <c r="G173" s="21">
        <v>0</v>
      </c>
      <c r="H173" s="21">
        <v>0</v>
      </c>
      <c r="I173" s="21">
        <v>0</v>
      </c>
      <c r="J173" s="20" t="s">
        <v>303</v>
      </c>
      <c r="K173" s="22" t="s">
        <v>20</v>
      </c>
      <c r="L173" s="22">
        <v>100</v>
      </c>
      <c r="M173" s="22">
        <v>100</v>
      </c>
      <c r="N173" s="44">
        <v>100</v>
      </c>
    </row>
    <row r="174" spans="1:14" x14ac:dyDescent="0.25">
      <c r="A174" s="55" t="s">
        <v>304</v>
      </c>
      <c r="B174" s="58" t="s">
        <v>305</v>
      </c>
      <c r="C174" s="58" t="s">
        <v>306</v>
      </c>
      <c r="D174" s="17"/>
      <c r="E174" s="17"/>
      <c r="F174" s="18">
        <f>SUM(F175:F176)</f>
        <v>200.10000000000002</v>
      </c>
      <c r="G174" s="18">
        <f>SUM(G175:G176)</f>
        <v>147.9</v>
      </c>
      <c r="H174" s="18">
        <f>SUM(H175:H176)</f>
        <v>0</v>
      </c>
      <c r="I174" s="18">
        <f>SUM(I175:I176)</f>
        <v>0</v>
      </c>
      <c r="J174" s="17" t="s">
        <v>307</v>
      </c>
      <c r="K174" s="19" t="s">
        <v>20</v>
      </c>
      <c r="L174" s="19">
        <v>100</v>
      </c>
      <c r="M174" s="19">
        <v>0</v>
      </c>
      <c r="N174" s="43">
        <v>0</v>
      </c>
    </row>
    <row r="175" spans="1:14" ht="30" x14ac:dyDescent="0.25">
      <c r="A175" s="56"/>
      <c r="B175" s="59"/>
      <c r="C175" s="59"/>
      <c r="D175" s="20" t="s">
        <v>35</v>
      </c>
      <c r="E175" s="20"/>
      <c r="F175" s="21">
        <v>147.9</v>
      </c>
      <c r="G175" s="21">
        <v>147.9</v>
      </c>
      <c r="H175" s="21">
        <v>0</v>
      </c>
      <c r="I175" s="21">
        <v>0</v>
      </c>
      <c r="J175" s="20" t="s">
        <v>308</v>
      </c>
      <c r="K175" s="22" t="s">
        <v>20</v>
      </c>
      <c r="L175" s="22">
        <v>100</v>
      </c>
      <c r="M175" s="22">
        <v>100</v>
      </c>
      <c r="N175" s="44">
        <v>100</v>
      </c>
    </row>
    <row r="176" spans="1:14" ht="15.75" thickBot="1" x14ac:dyDescent="0.3">
      <c r="A176" s="57"/>
      <c r="B176" s="60"/>
      <c r="C176" s="60"/>
      <c r="D176" s="20" t="s">
        <v>30</v>
      </c>
      <c r="E176" s="20"/>
      <c r="F176" s="21">
        <v>52.2</v>
      </c>
      <c r="G176" s="21"/>
      <c r="H176" s="21"/>
      <c r="I176" s="21"/>
      <c r="J176" s="20"/>
      <c r="K176" s="22"/>
      <c r="L176" s="22"/>
      <c r="M176" s="22"/>
      <c r="N176" s="44"/>
    </row>
    <row r="177" spans="1:14" ht="60" x14ac:dyDescent="0.25">
      <c r="A177" s="55" t="s">
        <v>309</v>
      </c>
      <c r="B177" s="58" t="s">
        <v>310</v>
      </c>
      <c r="C177" s="58" t="s">
        <v>311</v>
      </c>
      <c r="D177" s="17"/>
      <c r="E177" s="17"/>
      <c r="F177" s="18">
        <f>SUM(F178:F179)</f>
        <v>435.2</v>
      </c>
      <c r="G177" s="18">
        <f>SUM(G178:G179)</f>
        <v>513.4</v>
      </c>
      <c r="H177" s="18">
        <f>SUM(H178:H179)</f>
        <v>0</v>
      </c>
      <c r="I177" s="18">
        <f>SUM(I178:I179)</f>
        <v>0</v>
      </c>
      <c r="J177" s="17" t="s">
        <v>312</v>
      </c>
      <c r="K177" s="19" t="s">
        <v>20</v>
      </c>
      <c r="L177" s="19">
        <v>100</v>
      </c>
      <c r="M177" s="19">
        <v>0</v>
      </c>
      <c r="N177" s="43">
        <v>0</v>
      </c>
    </row>
    <row r="178" spans="1:14" x14ac:dyDescent="0.25">
      <c r="A178" s="56"/>
      <c r="B178" s="59"/>
      <c r="C178" s="59"/>
      <c r="D178" s="20" t="s">
        <v>30</v>
      </c>
      <c r="E178" s="20"/>
      <c r="F178" s="21">
        <v>147.80000000000001</v>
      </c>
      <c r="G178" s="21">
        <v>226</v>
      </c>
      <c r="H178" s="21">
        <v>0</v>
      </c>
      <c r="I178" s="21">
        <v>0</v>
      </c>
      <c r="J178" s="20"/>
      <c r="K178" s="22"/>
      <c r="L178" s="22"/>
      <c r="M178" s="22"/>
      <c r="N178" s="44"/>
    </row>
    <row r="179" spans="1:14" ht="15.75" thickBot="1" x14ac:dyDescent="0.3">
      <c r="A179" s="57"/>
      <c r="B179" s="60"/>
      <c r="C179" s="60"/>
      <c r="D179" s="20" t="s">
        <v>35</v>
      </c>
      <c r="E179" s="20"/>
      <c r="F179" s="21">
        <v>287.39999999999998</v>
      </c>
      <c r="G179" s="21">
        <v>287.39999999999998</v>
      </c>
      <c r="H179" s="21">
        <v>0</v>
      </c>
      <c r="I179" s="21">
        <v>0</v>
      </c>
      <c r="J179" s="20"/>
      <c r="K179" s="22"/>
      <c r="L179" s="22"/>
      <c r="M179" s="22"/>
      <c r="N179" s="44"/>
    </row>
    <row r="180" spans="1:14" ht="60.75" customHeight="1" x14ac:dyDescent="0.25">
      <c r="A180" s="55" t="s">
        <v>313</v>
      </c>
      <c r="B180" s="58" t="s">
        <v>314</v>
      </c>
      <c r="C180" s="58" t="s">
        <v>315</v>
      </c>
      <c r="D180" s="17" t="s">
        <v>121</v>
      </c>
      <c r="E180" s="17"/>
      <c r="F180" s="18">
        <f>SUM(F181:F181)</f>
        <v>0</v>
      </c>
      <c r="G180" s="18">
        <f>SUM(G181:G181)+136.1</f>
        <v>136.1</v>
      </c>
      <c r="H180" s="18">
        <f>SUM(H181:H181)+41.3</f>
        <v>41.3</v>
      </c>
      <c r="I180" s="18">
        <f>SUM(I181:I181)</f>
        <v>0</v>
      </c>
      <c r="J180" s="17" t="s">
        <v>316</v>
      </c>
      <c r="K180" s="19" t="s">
        <v>24</v>
      </c>
      <c r="L180" s="19">
        <v>1</v>
      </c>
      <c r="M180" s="19"/>
      <c r="N180" s="43"/>
    </row>
    <row r="181" spans="1:14" ht="15.75" thickBot="1" x14ac:dyDescent="0.3">
      <c r="A181" s="57"/>
      <c r="B181" s="60"/>
      <c r="C181" s="60"/>
      <c r="D181" s="20"/>
      <c r="E181" s="20"/>
      <c r="F181" s="21">
        <v>0</v>
      </c>
      <c r="G181" s="21">
        <v>0</v>
      </c>
      <c r="H181" s="21">
        <v>0</v>
      </c>
      <c r="I181" s="21">
        <v>0</v>
      </c>
      <c r="J181" s="20" t="s">
        <v>317</v>
      </c>
      <c r="K181" s="22" t="s">
        <v>24</v>
      </c>
      <c r="L181" s="22"/>
      <c r="M181" s="22">
        <v>1</v>
      </c>
      <c r="N181" s="44"/>
    </row>
    <row r="182" spans="1:14" ht="29.25" customHeight="1" thickBot="1" x14ac:dyDescent="0.3">
      <c r="A182" s="15" t="s">
        <v>318</v>
      </c>
      <c r="B182" s="72" t="s">
        <v>319</v>
      </c>
      <c r="C182" s="73"/>
      <c r="D182" s="73"/>
      <c r="E182" s="74"/>
      <c r="F182" s="16">
        <f>F183+F187+F191+F195+F199+F204+F207</f>
        <v>2737.1</v>
      </c>
      <c r="G182" s="16">
        <f>G183+G187+G191+G195+G199+G204+G207</f>
        <v>6935.0000000000009</v>
      </c>
      <c r="H182" s="16">
        <f>H183+H187+H191+H195+H199+H204+H207</f>
        <v>300</v>
      </c>
      <c r="I182" s="16">
        <f>I183+I187+I191+I195+I199+I204+I207</f>
        <v>300</v>
      </c>
      <c r="J182" s="61"/>
      <c r="K182" s="62"/>
      <c r="L182" s="62"/>
      <c r="M182" s="62"/>
      <c r="N182" s="63"/>
    </row>
    <row r="183" spans="1:14" ht="39" customHeight="1" x14ac:dyDescent="0.25">
      <c r="A183" s="55" t="s">
        <v>320</v>
      </c>
      <c r="B183" s="58" t="s">
        <v>321</v>
      </c>
      <c r="C183" s="58" t="s">
        <v>322</v>
      </c>
      <c r="D183" s="17"/>
      <c r="E183" s="17"/>
      <c r="F183" s="18">
        <f>SUM(F184:F186)</f>
        <v>313.2</v>
      </c>
      <c r="G183" s="18">
        <f>SUM(G184:G186)</f>
        <v>1735</v>
      </c>
      <c r="H183" s="18">
        <f>SUM(H184:H186)</f>
        <v>0</v>
      </c>
      <c r="I183" s="18">
        <f>SUM(I184:I186)</f>
        <v>0</v>
      </c>
      <c r="J183" s="17" t="s">
        <v>164</v>
      </c>
      <c r="K183" s="19" t="s">
        <v>24</v>
      </c>
      <c r="L183" s="19">
        <v>1</v>
      </c>
      <c r="M183" s="19"/>
      <c r="N183" s="43"/>
    </row>
    <row r="184" spans="1:14" x14ac:dyDescent="0.25">
      <c r="A184" s="56"/>
      <c r="B184" s="59"/>
      <c r="C184" s="59"/>
      <c r="D184" s="20" t="s">
        <v>35</v>
      </c>
      <c r="E184" s="20"/>
      <c r="F184" s="21">
        <v>209.6</v>
      </c>
      <c r="G184" s="21">
        <v>209.6</v>
      </c>
      <c r="H184" s="21">
        <v>0</v>
      </c>
      <c r="I184" s="21">
        <v>0</v>
      </c>
      <c r="J184" s="20"/>
      <c r="K184" s="22"/>
      <c r="L184" s="22"/>
      <c r="M184" s="22"/>
      <c r="N184" s="44"/>
    </row>
    <row r="185" spans="1:14" x14ac:dyDescent="0.25">
      <c r="A185" s="56"/>
      <c r="B185" s="59"/>
      <c r="C185" s="59"/>
      <c r="D185" s="20" t="s">
        <v>121</v>
      </c>
      <c r="E185" s="20"/>
      <c r="F185" s="21">
        <v>8.4</v>
      </c>
      <c r="G185" s="21">
        <v>123.7</v>
      </c>
      <c r="H185" s="21">
        <v>0</v>
      </c>
      <c r="I185" s="21">
        <v>0</v>
      </c>
      <c r="J185" s="20"/>
      <c r="K185" s="22"/>
      <c r="L185" s="22"/>
      <c r="M185" s="22"/>
      <c r="N185" s="44"/>
    </row>
    <row r="186" spans="1:14" ht="15.75" thickBot="1" x14ac:dyDescent="0.3">
      <c r="A186" s="57"/>
      <c r="B186" s="60"/>
      <c r="C186" s="60"/>
      <c r="D186" s="20" t="s">
        <v>136</v>
      </c>
      <c r="E186" s="20"/>
      <c r="F186" s="21">
        <v>95.2</v>
      </c>
      <c r="G186" s="21">
        <v>1401.7</v>
      </c>
      <c r="H186" s="21">
        <v>0</v>
      </c>
      <c r="I186" s="21">
        <v>0</v>
      </c>
      <c r="J186" s="20"/>
      <c r="K186" s="22"/>
      <c r="L186" s="22"/>
      <c r="M186" s="22"/>
      <c r="N186" s="44"/>
    </row>
    <row r="187" spans="1:14" ht="41.25" customHeight="1" x14ac:dyDescent="0.25">
      <c r="A187" s="55" t="s">
        <v>323</v>
      </c>
      <c r="B187" s="58" t="s">
        <v>324</v>
      </c>
      <c r="C187" s="58" t="s">
        <v>322</v>
      </c>
      <c r="D187" s="17"/>
      <c r="E187" s="17"/>
      <c r="F187" s="18">
        <f>SUM(F188:F190)</f>
        <v>74.600000000000009</v>
      </c>
      <c r="G187" s="18">
        <f>SUM(G188:G190)</f>
        <v>683.59999999999991</v>
      </c>
      <c r="H187" s="18">
        <f>SUM(H188:H190)</f>
        <v>0</v>
      </c>
      <c r="I187" s="18">
        <f>SUM(I188:I190)</f>
        <v>0</v>
      </c>
      <c r="J187" s="17" t="s">
        <v>164</v>
      </c>
      <c r="K187" s="19" t="s">
        <v>24</v>
      </c>
      <c r="L187" s="19">
        <v>1</v>
      </c>
      <c r="M187" s="19"/>
      <c r="N187" s="43"/>
    </row>
    <row r="188" spans="1:14" x14ac:dyDescent="0.25">
      <c r="A188" s="56"/>
      <c r="B188" s="59"/>
      <c r="C188" s="59"/>
      <c r="D188" s="20" t="s">
        <v>121</v>
      </c>
      <c r="E188" s="20"/>
      <c r="F188" s="21">
        <v>5.9</v>
      </c>
      <c r="G188" s="21">
        <v>55.3</v>
      </c>
      <c r="H188" s="21">
        <v>0</v>
      </c>
      <c r="I188" s="21">
        <v>0</v>
      </c>
      <c r="J188" s="20"/>
      <c r="K188" s="22"/>
      <c r="L188" s="22"/>
      <c r="M188" s="22"/>
      <c r="N188" s="44"/>
    </row>
    <row r="189" spans="1:14" x14ac:dyDescent="0.25">
      <c r="A189" s="56"/>
      <c r="B189" s="59"/>
      <c r="C189" s="59"/>
      <c r="D189" s="20" t="s">
        <v>30</v>
      </c>
      <c r="E189" s="20"/>
      <c r="F189" s="21">
        <v>2</v>
      </c>
      <c r="G189" s="21">
        <v>2</v>
      </c>
      <c r="H189" s="21">
        <v>0</v>
      </c>
      <c r="I189" s="21">
        <v>0</v>
      </c>
      <c r="J189" s="20"/>
      <c r="K189" s="22"/>
      <c r="L189" s="22"/>
      <c r="M189" s="22"/>
      <c r="N189" s="44"/>
    </row>
    <row r="190" spans="1:14" ht="15.75" thickBot="1" x14ac:dyDescent="0.3">
      <c r="A190" s="57"/>
      <c r="B190" s="60"/>
      <c r="C190" s="60"/>
      <c r="D190" s="20" t="s">
        <v>136</v>
      </c>
      <c r="E190" s="20"/>
      <c r="F190" s="21">
        <v>66.7</v>
      </c>
      <c r="G190" s="21">
        <v>626.29999999999995</v>
      </c>
      <c r="H190" s="21">
        <v>0</v>
      </c>
      <c r="I190" s="21">
        <v>0</v>
      </c>
      <c r="J190" s="20"/>
      <c r="K190" s="22"/>
      <c r="L190" s="22"/>
      <c r="M190" s="22"/>
      <c r="N190" s="44"/>
    </row>
    <row r="191" spans="1:14" ht="30" x14ac:dyDescent="0.25">
      <c r="A191" s="55" t="s">
        <v>325</v>
      </c>
      <c r="B191" s="58" t="s">
        <v>326</v>
      </c>
      <c r="C191" s="58" t="s">
        <v>327</v>
      </c>
      <c r="D191" s="17"/>
      <c r="E191" s="17"/>
      <c r="F191" s="18">
        <f>SUM(F192:F194)</f>
        <v>1075.3</v>
      </c>
      <c r="G191" s="18">
        <f>SUM(G192:G194)</f>
        <v>1946.5</v>
      </c>
      <c r="H191" s="18">
        <f>SUM(H192:H194)</f>
        <v>0</v>
      </c>
      <c r="I191" s="18">
        <f>SUM(I192:I194)</f>
        <v>0</v>
      </c>
      <c r="J191" s="17" t="s">
        <v>164</v>
      </c>
      <c r="K191" s="19" t="s">
        <v>24</v>
      </c>
      <c r="L191" s="19">
        <v>1</v>
      </c>
      <c r="M191" s="19"/>
      <c r="N191" s="43"/>
    </row>
    <row r="192" spans="1:14" x14ac:dyDescent="0.25">
      <c r="A192" s="56"/>
      <c r="B192" s="59"/>
      <c r="C192" s="59"/>
      <c r="D192" s="20" t="s">
        <v>35</v>
      </c>
      <c r="E192" s="20"/>
      <c r="F192" s="21">
        <v>0.3</v>
      </c>
      <c r="G192" s="21">
        <v>0.3</v>
      </c>
      <c r="H192" s="21">
        <v>0</v>
      </c>
      <c r="I192" s="21">
        <v>0</v>
      </c>
      <c r="J192" s="20"/>
      <c r="K192" s="22"/>
      <c r="L192" s="22"/>
      <c r="M192" s="22"/>
      <c r="N192" s="44"/>
    </row>
    <row r="193" spans="1:14" x14ac:dyDescent="0.25">
      <c r="A193" s="56"/>
      <c r="B193" s="59"/>
      <c r="C193" s="59"/>
      <c r="D193" s="20" t="s">
        <v>121</v>
      </c>
      <c r="E193" s="20"/>
      <c r="F193" s="21">
        <v>87.2</v>
      </c>
      <c r="G193" s="21">
        <v>157.9</v>
      </c>
      <c r="H193" s="21">
        <v>0</v>
      </c>
      <c r="I193" s="21">
        <v>0</v>
      </c>
      <c r="J193" s="20"/>
      <c r="K193" s="22"/>
      <c r="L193" s="22"/>
      <c r="M193" s="22"/>
      <c r="N193" s="44"/>
    </row>
    <row r="194" spans="1:14" ht="15.75" thickBot="1" x14ac:dyDescent="0.3">
      <c r="A194" s="57"/>
      <c r="B194" s="60"/>
      <c r="C194" s="60"/>
      <c r="D194" s="20" t="s">
        <v>136</v>
      </c>
      <c r="E194" s="20"/>
      <c r="F194" s="21">
        <v>987.8</v>
      </c>
      <c r="G194" s="21">
        <v>1788.3</v>
      </c>
      <c r="H194" s="21">
        <v>0</v>
      </c>
      <c r="I194" s="21">
        <v>0</v>
      </c>
      <c r="J194" s="20"/>
      <c r="K194" s="22"/>
      <c r="L194" s="22"/>
      <c r="M194" s="22"/>
      <c r="N194" s="44"/>
    </row>
    <row r="195" spans="1:14" ht="30" x14ac:dyDescent="0.25">
      <c r="A195" s="55" t="s">
        <v>328</v>
      </c>
      <c r="B195" s="58" t="s">
        <v>329</v>
      </c>
      <c r="C195" s="58" t="s">
        <v>322</v>
      </c>
      <c r="D195" s="17"/>
      <c r="E195" s="17"/>
      <c r="F195" s="18">
        <f>SUM(F196:F198)</f>
        <v>5.8</v>
      </c>
      <c r="G195" s="18">
        <f>SUM(G196:G198)</f>
        <v>695.19999999999993</v>
      </c>
      <c r="H195" s="18">
        <f>SUM(H196:H198)</f>
        <v>0</v>
      </c>
      <c r="I195" s="18">
        <f>SUM(I196:I198)</f>
        <v>0</v>
      </c>
      <c r="J195" s="17" t="s">
        <v>164</v>
      </c>
      <c r="K195" s="19" t="s">
        <v>24</v>
      </c>
      <c r="L195" s="19">
        <v>1</v>
      </c>
      <c r="M195" s="19"/>
      <c r="N195" s="43"/>
    </row>
    <row r="196" spans="1:14" x14ac:dyDescent="0.25">
      <c r="A196" s="56"/>
      <c r="B196" s="59"/>
      <c r="C196" s="59"/>
      <c r="D196" s="20" t="s">
        <v>136</v>
      </c>
      <c r="E196" s="20"/>
      <c r="F196" s="21">
        <v>4.9000000000000004</v>
      </c>
      <c r="G196" s="21">
        <v>638.4</v>
      </c>
      <c r="H196" s="21">
        <v>0</v>
      </c>
      <c r="I196" s="21">
        <v>0</v>
      </c>
      <c r="J196" s="20"/>
      <c r="K196" s="22"/>
      <c r="L196" s="22"/>
      <c r="M196" s="22"/>
      <c r="N196" s="44"/>
    </row>
    <row r="197" spans="1:14" x14ac:dyDescent="0.25">
      <c r="A197" s="56"/>
      <c r="B197" s="59"/>
      <c r="C197" s="59"/>
      <c r="D197" s="20" t="s">
        <v>35</v>
      </c>
      <c r="E197" s="20"/>
      <c r="F197" s="21">
        <v>0.3</v>
      </c>
      <c r="G197" s="21">
        <v>0.3</v>
      </c>
      <c r="H197" s="21">
        <v>0</v>
      </c>
      <c r="I197" s="21">
        <v>0</v>
      </c>
      <c r="J197" s="20"/>
      <c r="K197" s="22"/>
      <c r="L197" s="22"/>
      <c r="M197" s="22"/>
      <c r="N197" s="44"/>
    </row>
    <row r="198" spans="1:14" ht="15.75" thickBot="1" x14ac:dyDescent="0.3">
      <c r="A198" s="57"/>
      <c r="B198" s="60"/>
      <c r="C198" s="60"/>
      <c r="D198" s="20" t="s">
        <v>121</v>
      </c>
      <c r="E198" s="20"/>
      <c r="F198" s="21">
        <v>0.6</v>
      </c>
      <c r="G198" s="21">
        <v>56.5</v>
      </c>
      <c r="H198" s="21">
        <v>0</v>
      </c>
      <c r="I198" s="21">
        <v>0</v>
      </c>
      <c r="J198" s="20"/>
      <c r="K198" s="22"/>
      <c r="L198" s="22"/>
      <c r="M198" s="22"/>
      <c r="N198" s="44"/>
    </row>
    <row r="199" spans="1:14" x14ac:dyDescent="0.25">
      <c r="A199" s="55" t="s">
        <v>330</v>
      </c>
      <c r="B199" s="58" t="s">
        <v>331</v>
      </c>
      <c r="C199" s="58" t="s">
        <v>332</v>
      </c>
      <c r="D199" s="17"/>
      <c r="E199" s="17"/>
      <c r="F199" s="18">
        <f>SUM(F200:F203)</f>
        <v>955.6</v>
      </c>
      <c r="G199" s="18">
        <f>SUM(G200:G203)</f>
        <v>955.6</v>
      </c>
      <c r="H199" s="18">
        <f>SUM(H200:H203)</f>
        <v>0</v>
      </c>
      <c r="I199" s="18">
        <f>SUM(I200:I203)</f>
        <v>0</v>
      </c>
      <c r="J199" s="17" t="s">
        <v>333</v>
      </c>
      <c r="K199" s="19" t="s">
        <v>20</v>
      </c>
      <c r="L199" s="19">
        <v>100</v>
      </c>
      <c r="M199" s="19"/>
      <c r="N199" s="43"/>
    </row>
    <row r="200" spans="1:14" ht="30" x14ac:dyDescent="0.25">
      <c r="A200" s="56"/>
      <c r="B200" s="59"/>
      <c r="C200" s="59"/>
      <c r="D200" s="20" t="s">
        <v>136</v>
      </c>
      <c r="E200" s="20"/>
      <c r="F200" s="21">
        <v>130.1</v>
      </c>
      <c r="G200" s="21">
        <v>130.1</v>
      </c>
      <c r="H200" s="21">
        <v>0</v>
      </c>
      <c r="I200" s="21">
        <v>0</v>
      </c>
      <c r="J200" s="20" t="s">
        <v>164</v>
      </c>
      <c r="K200" s="22" t="s">
        <v>24</v>
      </c>
      <c r="L200" s="22">
        <v>1</v>
      </c>
      <c r="M200" s="22"/>
      <c r="N200" s="44"/>
    </row>
    <row r="201" spans="1:14" x14ac:dyDescent="0.25">
      <c r="A201" s="56"/>
      <c r="B201" s="59"/>
      <c r="C201" s="59"/>
      <c r="D201" s="20" t="s">
        <v>30</v>
      </c>
      <c r="E201" s="20"/>
      <c r="F201" s="21">
        <v>475</v>
      </c>
      <c r="G201" s="21">
        <v>475</v>
      </c>
      <c r="H201" s="21"/>
      <c r="I201" s="21"/>
      <c r="J201" s="20"/>
      <c r="K201" s="22"/>
      <c r="L201" s="22"/>
      <c r="M201" s="22"/>
      <c r="N201" s="44"/>
    </row>
    <row r="202" spans="1:14" x14ac:dyDescent="0.25">
      <c r="A202" s="56"/>
      <c r="B202" s="59"/>
      <c r="C202" s="59"/>
      <c r="D202" s="20" t="s">
        <v>121</v>
      </c>
      <c r="E202" s="20"/>
      <c r="F202" s="21">
        <v>11.5</v>
      </c>
      <c r="G202" s="21">
        <v>11.5</v>
      </c>
      <c r="H202" s="21"/>
      <c r="I202" s="21"/>
      <c r="J202" s="20"/>
      <c r="K202" s="22"/>
      <c r="L202" s="22"/>
      <c r="M202" s="22"/>
      <c r="N202" s="44"/>
    </row>
    <row r="203" spans="1:14" ht="15.75" thickBot="1" x14ac:dyDescent="0.3">
      <c r="A203" s="57"/>
      <c r="B203" s="60"/>
      <c r="C203" s="60"/>
      <c r="D203" s="20" t="s">
        <v>35</v>
      </c>
      <c r="E203" s="20"/>
      <c r="F203" s="21">
        <v>339</v>
      </c>
      <c r="G203" s="21">
        <v>339</v>
      </c>
      <c r="H203" s="21"/>
      <c r="I203" s="21"/>
      <c r="J203" s="20"/>
      <c r="K203" s="22"/>
      <c r="L203" s="22"/>
      <c r="M203" s="22"/>
      <c r="N203" s="44"/>
    </row>
    <row r="204" spans="1:14" ht="30" x14ac:dyDescent="0.25">
      <c r="A204" s="55" t="s">
        <v>334</v>
      </c>
      <c r="B204" s="58" t="s">
        <v>335</v>
      </c>
      <c r="C204" s="58" t="s">
        <v>204</v>
      </c>
      <c r="D204" s="17"/>
      <c r="E204" s="17"/>
      <c r="F204" s="18">
        <f>SUM(F205:F206)</f>
        <v>12.1</v>
      </c>
      <c r="G204" s="18">
        <f>SUM(G205:G206)</f>
        <v>618.6</v>
      </c>
      <c r="H204" s="18">
        <f>SUM(H205:H206)</f>
        <v>0</v>
      </c>
      <c r="I204" s="18">
        <f>SUM(I205:I206)</f>
        <v>0</v>
      </c>
      <c r="J204" s="17" t="s">
        <v>164</v>
      </c>
      <c r="K204" s="19" t="s">
        <v>24</v>
      </c>
      <c r="L204" s="19">
        <v>1</v>
      </c>
      <c r="M204" s="19"/>
      <c r="N204" s="43"/>
    </row>
    <row r="205" spans="1:14" x14ac:dyDescent="0.25">
      <c r="A205" s="56"/>
      <c r="B205" s="59"/>
      <c r="C205" s="59"/>
      <c r="D205" s="20" t="s">
        <v>121</v>
      </c>
      <c r="E205" s="20"/>
      <c r="F205" s="21">
        <v>1</v>
      </c>
      <c r="G205" s="21">
        <v>50.2</v>
      </c>
      <c r="H205" s="21">
        <v>0</v>
      </c>
      <c r="I205" s="21">
        <v>0</v>
      </c>
      <c r="J205" s="20"/>
      <c r="K205" s="22"/>
      <c r="L205" s="22"/>
      <c r="M205" s="22"/>
      <c r="N205" s="44"/>
    </row>
    <row r="206" spans="1:14" ht="15.75" thickBot="1" x14ac:dyDescent="0.3">
      <c r="A206" s="57"/>
      <c r="B206" s="60"/>
      <c r="C206" s="60"/>
      <c r="D206" s="20" t="s">
        <v>136</v>
      </c>
      <c r="E206" s="20"/>
      <c r="F206" s="21">
        <v>11.1</v>
      </c>
      <c r="G206" s="21">
        <v>568.4</v>
      </c>
      <c r="H206" s="21">
        <v>0</v>
      </c>
      <c r="I206" s="21">
        <v>0</v>
      </c>
      <c r="J206" s="20"/>
      <c r="K206" s="22"/>
      <c r="L206" s="22"/>
      <c r="M206" s="22"/>
      <c r="N206" s="44"/>
    </row>
    <row r="207" spans="1:14" ht="60" x14ac:dyDescent="0.25">
      <c r="A207" s="55" t="s">
        <v>336</v>
      </c>
      <c r="B207" s="58" t="s">
        <v>337</v>
      </c>
      <c r="C207" s="58" t="s">
        <v>338</v>
      </c>
      <c r="D207" s="17"/>
      <c r="E207" s="17" t="s">
        <v>339</v>
      </c>
      <c r="F207" s="18">
        <f>SUM(F208:F210)</f>
        <v>300.5</v>
      </c>
      <c r="G207" s="18">
        <f>SUM(G208:G210)</f>
        <v>300.5</v>
      </c>
      <c r="H207" s="18">
        <f>SUM(H208:H210)</f>
        <v>300</v>
      </c>
      <c r="I207" s="18">
        <f>SUM(I208:I210)</f>
        <v>300</v>
      </c>
      <c r="J207" s="17" t="s">
        <v>340</v>
      </c>
      <c r="K207" s="19" t="s">
        <v>255</v>
      </c>
      <c r="L207" s="19">
        <v>21</v>
      </c>
      <c r="M207" s="19">
        <v>0</v>
      </c>
      <c r="N207" s="43">
        <v>0</v>
      </c>
    </row>
    <row r="208" spans="1:14" ht="30" x14ac:dyDescent="0.25">
      <c r="A208" s="56"/>
      <c r="B208" s="59"/>
      <c r="C208" s="59"/>
      <c r="D208" s="20" t="s">
        <v>30</v>
      </c>
      <c r="E208" s="20"/>
      <c r="F208" s="21">
        <v>200</v>
      </c>
      <c r="G208" s="21">
        <v>200</v>
      </c>
      <c r="H208" s="21">
        <v>300</v>
      </c>
      <c r="I208" s="21">
        <v>300</v>
      </c>
      <c r="J208" s="20" t="s">
        <v>341</v>
      </c>
      <c r="K208" s="22" t="s">
        <v>255</v>
      </c>
      <c r="L208" s="22">
        <v>81</v>
      </c>
      <c r="M208" s="22">
        <v>110</v>
      </c>
      <c r="N208" s="44">
        <v>114</v>
      </c>
    </row>
    <row r="209" spans="1:14" x14ac:dyDescent="0.25">
      <c r="A209" s="56"/>
      <c r="B209" s="59"/>
      <c r="C209" s="59"/>
      <c r="D209" s="20" t="s">
        <v>35</v>
      </c>
      <c r="E209" s="20"/>
      <c r="F209" s="21">
        <v>100.5</v>
      </c>
      <c r="G209" s="21">
        <v>100.5</v>
      </c>
      <c r="H209" s="21">
        <v>0</v>
      </c>
      <c r="I209" s="21">
        <v>0</v>
      </c>
      <c r="J209" s="20" t="s">
        <v>342</v>
      </c>
      <c r="K209" s="22" t="s">
        <v>255</v>
      </c>
      <c r="L209" s="22">
        <v>1</v>
      </c>
      <c r="M209" s="22">
        <v>0</v>
      </c>
      <c r="N209" s="44">
        <v>0</v>
      </c>
    </row>
    <row r="210" spans="1:14" ht="15.75" thickBot="1" x14ac:dyDescent="0.3">
      <c r="A210" s="57"/>
      <c r="B210" s="60"/>
      <c r="C210" s="60"/>
      <c r="D210" s="20"/>
      <c r="E210" s="20"/>
      <c r="F210" s="21">
        <v>0</v>
      </c>
      <c r="G210" s="21">
        <v>0</v>
      </c>
      <c r="H210" s="21">
        <v>0</v>
      </c>
      <c r="I210" s="21">
        <v>0</v>
      </c>
      <c r="J210" s="20" t="s">
        <v>343</v>
      </c>
      <c r="K210" s="22" t="s">
        <v>255</v>
      </c>
      <c r="L210" s="22">
        <v>5</v>
      </c>
      <c r="M210" s="22">
        <v>4</v>
      </c>
      <c r="N210" s="44">
        <v>4</v>
      </c>
    </row>
    <row r="211" spans="1:14" ht="29.25" customHeight="1" thickBot="1" x14ac:dyDescent="0.3">
      <c r="A211" s="11" t="s">
        <v>344</v>
      </c>
      <c r="B211" s="93" t="s">
        <v>345</v>
      </c>
      <c r="C211" s="94"/>
      <c r="D211" s="94"/>
      <c r="E211" s="95"/>
      <c r="F211" s="12">
        <f>F212+F228</f>
        <v>10271.799999999999</v>
      </c>
      <c r="G211" s="12">
        <f>G212+G228</f>
        <v>13678.399999999998</v>
      </c>
      <c r="H211" s="12">
        <f>H212+H228</f>
        <v>11517</v>
      </c>
      <c r="I211" s="12">
        <f>I212+I228</f>
        <v>11947</v>
      </c>
      <c r="J211" s="13" t="s">
        <v>346</v>
      </c>
      <c r="K211" s="14" t="s">
        <v>302</v>
      </c>
      <c r="L211" s="14">
        <v>3</v>
      </c>
      <c r="M211" s="14">
        <v>3</v>
      </c>
      <c r="N211" s="42">
        <v>3</v>
      </c>
    </row>
    <row r="212" spans="1:14" ht="28.5" customHeight="1" thickBot="1" x14ac:dyDescent="0.3">
      <c r="A212" s="15" t="s">
        <v>347</v>
      </c>
      <c r="B212" s="72" t="s">
        <v>348</v>
      </c>
      <c r="C212" s="73"/>
      <c r="D212" s="73"/>
      <c r="E212" s="74"/>
      <c r="F212" s="16">
        <f>F213+F219+F222+F226+F227+0.1</f>
        <v>8207</v>
      </c>
      <c r="G212" s="16">
        <f>G213+G219+G222+G226+G227+0.1</f>
        <v>11386.399999999998</v>
      </c>
      <c r="H212" s="16">
        <f>H213+H219+H222+H226+H227</f>
        <v>9297</v>
      </c>
      <c r="I212" s="16">
        <f>I213+I219+I222+I226+I227</f>
        <v>9697</v>
      </c>
      <c r="J212" s="61"/>
      <c r="K212" s="62"/>
      <c r="L212" s="62"/>
      <c r="M212" s="62"/>
      <c r="N212" s="63"/>
    </row>
    <row r="213" spans="1:14" ht="67.5" customHeight="1" x14ac:dyDescent="0.25">
      <c r="A213" s="55" t="s">
        <v>349</v>
      </c>
      <c r="B213" s="58" t="s">
        <v>350</v>
      </c>
      <c r="C213" s="58" t="s">
        <v>351</v>
      </c>
      <c r="D213" s="17"/>
      <c r="E213" s="17" t="s">
        <v>195</v>
      </c>
      <c r="F213" s="18">
        <f>SUM(F214:F218)</f>
        <v>6023.9</v>
      </c>
      <c r="G213" s="18">
        <f>SUM(G214:G218)</f>
        <v>9096.1999999999989</v>
      </c>
      <c r="H213" s="18">
        <f>SUM(H214:H218)</f>
        <v>7100</v>
      </c>
      <c r="I213" s="18">
        <f>SUM(I214:I218)</f>
        <v>7200</v>
      </c>
      <c r="J213" s="17" t="s">
        <v>352</v>
      </c>
      <c r="K213" s="19" t="s">
        <v>20</v>
      </c>
      <c r="L213" s="19">
        <v>100</v>
      </c>
      <c r="M213" s="19">
        <v>100</v>
      </c>
      <c r="N213" s="43">
        <v>100</v>
      </c>
    </row>
    <row r="214" spans="1:14" x14ac:dyDescent="0.25">
      <c r="A214" s="56"/>
      <c r="B214" s="59"/>
      <c r="C214" s="59"/>
      <c r="D214" s="20" t="s">
        <v>121</v>
      </c>
      <c r="E214" s="20"/>
      <c r="F214" s="21">
        <v>0</v>
      </c>
      <c r="G214" s="21">
        <v>1427</v>
      </c>
      <c r="H214" s="21">
        <v>0</v>
      </c>
      <c r="I214" s="21">
        <v>0</v>
      </c>
      <c r="J214" s="20" t="s">
        <v>353</v>
      </c>
      <c r="K214" s="22" t="s">
        <v>20</v>
      </c>
      <c r="L214" s="22">
        <v>100</v>
      </c>
      <c r="M214" s="22">
        <v>100</v>
      </c>
      <c r="N214" s="44">
        <v>100</v>
      </c>
    </row>
    <row r="215" spans="1:14" ht="30" x14ac:dyDescent="0.25">
      <c r="A215" s="56"/>
      <c r="B215" s="59"/>
      <c r="C215" s="59"/>
      <c r="D215" s="20" t="s">
        <v>289</v>
      </c>
      <c r="E215" s="20"/>
      <c r="F215" s="21">
        <v>3445</v>
      </c>
      <c r="G215" s="21">
        <v>5090.3</v>
      </c>
      <c r="H215" s="21">
        <v>3840</v>
      </c>
      <c r="I215" s="21">
        <v>3840</v>
      </c>
      <c r="J215" s="20" t="s">
        <v>354</v>
      </c>
      <c r="K215" s="22" t="s">
        <v>243</v>
      </c>
      <c r="L215" s="22">
        <v>281</v>
      </c>
      <c r="M215" s="22">
        <v>0</v>
      </c>
      <c r="N215" s="44">
        <v>0</v>
      </c>
    </row>
    <row r="216" spans="1:14" x14ac:dyDescent="0.25">
      <c r="A216" s="56"/>
      <c r="B216" s="59"/>
      <c r="C216" s="59"/>
      <c r="D216" s="20" t="s">
        <v>30</v>
      </c>
      <c r="E216" s="20"/>
      <c r="F216" s="21">
        <v>950</v>
      </c>
      <c r="G216" s="21">
        <v>970</v>
      </c>
      <c r="H216" s="21">
        <v>3260</v>
      </c>
      <c r="I216" s="21">
        <v>3360</v>
      </c>
      <c r="J216" s="20"/>
      <c r="K216" s="22"/>
      <c r="L216" s="22"/>
      <c r="M216" s="22"/>
      <c r="N216" s="44"/>
    </row>
    <row r="217" spans="1:14" x14ac:dyDescent="0.25">
      <c r="A217" s="56"/>
      <c r="B217" s="59"/>
      <c r="C217" s="59"/>
      <c r="D217" s="20" t="s">
        <v>144</v>
      </c>
      <c r="E217" s="20"/>
      <c r="F217" s="21"/>
      <c r="G217" s="21">
        <v>1300</v>
      </c>
      <c r="H217" s="21"/>
      <c r="I217" s="21"/>
      <c r="J217" s="20"/>
      <c r="K217" s="22"/>
      <c r="L217" s="22"/>
      <c r="M217" s="22"/>
      <c r="N217" s="44"/>
    </row>
    <row r="218" spans="1:14" ht="15.75" thickBot="1" x14ac:dyDescent="0.3">
      <c r="A218" s="57"/>
      <c r="B218" s="60"/>
      <c r="C218" s="60"/>
      <c r="D218" s="20" t="s">
        <v>35</v>
      </c>
      <c r="E218" s="20"/>
      <c r="F218" s="21">
        <v>1628.9</v>
      </c>
      <c r="G218" s="21">
        <v>308.89999999999998</v>
      </c>
      <c r="H218" s="21"/>
      <c r="I218" s="21"/>
      <c r="J218" s="20"/>
      <c r="K218" s="22"/>
      <c r="L218" s="22"/>
      <c r="M218" s="22"/>
      <c r="N218" s="44"/>
    </row>
    <row r="219" spans="1:14" ht="30" x14ac:dyDescent="0.25">
      <c r="A219" s="55" t="s">
        <v>355</v>
      </c>
      <c r="B219" s="58" t="s">
        <v>356</v>
      </c>
      <c r="C219" s="58" t="s">
        <v>357</v>
      </c>
      <c r="D219" s="17"/>
      <c r="E219" s="17"/>
      <c r="F219" s="18">
        <f>SUM(F220:F221)</f>
        <v>971.7</v>
      </c>
      <c r="G219" s="18">
        <f>SUM(G220:G221)</f>
        <v>878.80000000000007</v>
      </c>
      <c r="H219" s="18">
        <f>SUM(H220:H221)</f>
        <v>0</v>
      </c>
      <c r="I219" s="18">
        <f>SUM(I220:I221)</f>
        <v>0</v>
      </c>
      <c r="J219" s="17" t="s">
        <v>164</v>
      </c>
      <c r="K219" s="19" t="s">
        <v>24</v>
      </c>
      <c r="L219" s="19">
        <v>1</v>
      </c>
      <c r="M219" s="19"/>
      <c r="N219" s="43"/>
    </row>
    <row r="220" spans="1:14" x14ac:dyDescent="0.25">
      <c r="A220" s="56"/>
      <c r="B220" s="59"/>
      <c r="C220" s="59"/>
      <c r="D220" s="20" t="s">
        <v>30</v>
      </c>
      <c r="E220" s="20"/>
      <c r="F220" s="21">
        <v>130</v>
      </c>
      <c r="G220" s="21">
        <v>37.1</v>
      </c>
      <c r="H220" s="21">
        <v>0</v>
      </c>
      <c r="I220" s="21">
        <v>0</v>
      </c>
      <c r="J220" s="20"/>
      <c r="K220" s="22"/>
      <c r="L220" s="22"/>
      <c r="M220" s="22"/>
      <c r="N220" s="44"/>
    </row>
    <row r="221" spans="1:14" ht="15.75" thickBot="1" x14ac:dyDescent="0.3">
      <c r="A221" s="57"/>
      <c r="B221" s="60"/>
      <c r="C221" s="60"/>
      <c r="D221" s="20" t="s">
        <v>35</v>
      </c>
      <c r="E221" s="20"/>
      <c r="F221" s="21">
        <v>841.7</v>
      </c>
      <c r="G221" s="21">
        <v>841.7</v>
      </c>
      <c r="H221" s="21">
        <v>0</v>
      </c>
      <c r="I221" s="21">
        <v>0</v>
      </c>
      <c r="J221" s="20"/>
      <c r="K221" s="22"/>
      <c r="L221" s="22"/>
      <c r="M221" s="22"/>
      <c r="N221" s="44"/>
    </row>
    <row r="222" spans="1:14" x14ac:dyDescent="0.25">
      <c r="A222" s="55" t="s">
        <v>358</v>
      </c>
      <c r="B222" s="58" t="s">
        <v>359</v>
      </c>
      <c r="C222" s="58" t="s">
        <v>204</v>
      </c>
      <c r="D222" s="17"/>
      <c r="E222" s="17" t="s">
        <v>195</v>
      </c>
      <c r="F222" s="18">
        <f>SUM(F223:F225)</f>
        <v>132.80000000000001</v>
      </c>
      <c r="G222" s="18">
        <f>SUM(G223:G225)</f>
        <v>332.8</v>
      </c>
      <c r="H222" s="18">
        <f>SUM(H223:H225)</f>
        <v>1500</v>
      </c>
      <c r="I222" s="18">
        <f>SUM(I223:I225)</f>
        <v>1800</v>
      </c>
      <c r="J222" s="17" t="s">
        <v>360</v>
      </c>
      <c r="K222" s="19" t="s">
        <v>24</v>
      </c>
      <c r="L222" s="19">
        <v>4</v>
      </c>
      <c r="M222" s="19">
        <v>4</v>
      </c>
      <c r="N222" s="43">
        <v>5</v>
      </c>
    </row>
    <row r="223" spans="1:14" x14ac:dyDescent="0.25">
      <c r="A223" s="56"/>
      <c r="B223" s="59"/>
      <c r="C223" s="59"/>
      <c r="D223" s="20" t="s">
        <v>144</v>
      </c>
      <c r="E223" s="20"/>
      <c r="F223" s="21">
        <v>0</v>
      </c>
      <c r="G223" s="21">
        <v>200</v>
      </c>
      <c r="H223" s="21">
        <v>0</v>
      </c>
      <c r="I223" s="21">
        <v>0</v>
      </c>
      <c r="J223" s="20"/>
      <c r="K223" s="22"/>
      <c r="L223" s="22"/>
      <c r="M223" s="22"/>
      <c r="N223" s="44"/>
    </row>
    <row r="224" spans="1:14" x14ac:dyDescent="0.25">
      <c r="A224" s="56"/>
      <c r="B224" s="59"/>
      <c r="C224" s="59"/>
      <c r="D224" s="20" t="s">
        <v>30</v>
      </c>
      <c r="E224" s="20"/>
      <c r="F224" s="21">
        <v>100</v>
      </c>
      <c r="G224" s="21">
        <v>100</v>
      </c>
      <c r="H224" s="21">
        <v>1500</v>
      </c>
      <c r="I224" s="21">
        <v>1800</v>
      </c>
      <c r="J224" s="20"/>
      <c r="K224" s="22"/>
      <c r="L224" s="22"/>
      <c r="M224" s="22"/>
      <c r="N224" s="44"/>
    </row>
    <row r="225" spans="1:14" ht="15.75" thickBot="1" x14ac:dyDescent="0.3">
      <c r="A225" s="57"/>
      <c r="B225" s="60"/>
      <c r="C225" s="60"/>
      <c r="D225" s="20" t="s">
        <v>35</v>
      </c>
      <c r="E225" s="20"/>
      <c r="F225" s="21">
        <v>32.799999999999997</v>
      </c>
      <c r="G225" s="21">
        <v>32.799999999999997</v>
      </c>
      <c r="H225" s="21">
        <v>0</v>
      </c>
      <c r="I225" s="21">
        <v>0</v>
      </c>
      <c r="J225" s="20"/>
      <c r="K225" s="22"/>
      <c r="L225" s="22"/>
      <c r="M225" s="22"/>
      <c r="N225" s="44"/>
    </row>
    <row r="226" spans="1:14" ht="45.75" thickBot="1" x14ac:dyDescent="0.3">
      <c r="A226" s="23" t="s">
        <v>361</v>
      </c>
      <c r="B226" s="24" t="s">
        <v>362</v>
      </c>
      <c r="C226" s="17" t="s">
        <v>204</v>
      </c>
      <c r="D226" s="17" t="s">
        <v>136</v>
      </c>
      <c r="E226" s="17"/>
      <c r="F226" s="25">
        <v>383.7</v>
      </c>
      <c r="G226" s="25">
        <v>383.7</v>
      </c>
      <c r="H226" s="25">
        <v>0</v>
      </c>
      <c r="I226" s="25">
        <v>0</v>
      </c>
      <c r="J226" s="17" t="s">
        <v>164</v>
      </c>
      <c r="K226" s="19" t="s">
        <v>24</v>
      </c>
      <c r="L226" s="19">
        <v>1</v>
      </c>
      <c r="M226" s="19"/>
      <c r="N226" s="43"/>
    </row>
    <row r="227" spans="1:14" ht="45.75" thickBot="1" x14ac:dyDescent="0.3">
      <c r="A227" s="23" t="s">
        <v>363</v>
      </c>
      <c r="B227" s="24" t="s">
        <v>364</v>
      </c>
      <c r="C227" s="17" t="s">
        <v>185</v>
      </c>
      <c r="D227" s="17" t="s">
        <v>30</v>
      </c>
      <c r="E227" s="17"/>
      <c r="F227" s="25">
        <v>694.8</v>
      </c>
      <c r="G227" s="25">
        <v>694.8</v>
      </c>
      <c r="H227" s="25">
        <v>697</v>
      </c>
      <c r="I227" s="25">
        <v>697</v>
      </c>
      <c r="J227" s="17" t="s">
        <v>365</v>
      </c>
      <c r="K227" s="19" t="s">
        <v>302</v>
      </c>
      <c r="L227" s="50">
        <v>600000</v>
      </c>
      <c r="M227" s="50">
        <v>600000</v>
      </c>
      <c r="N227" s="51">
        <v>600000</v>
      </c>
    </row>
    <row r="228" spans="1:14" ht="26.25" customHeight="1" thickBot="1" x14ac:dyDescent="0.3">
      <c r="A228" s="15" t="s">
        <v>366</v>
      </c>
      <c r="B228" s="72" t="s">
        <v>367</v>
      </c>
      <c r="C228" s="73"/>
      <c r="D228" s="73"/>
      <c r="E228" s="74"/>
      <c r="F228" s="16">
        <f>F229+F233</f>
        <v>2064.8000000000002</v>
      </c>
      <c r="G228" s="16">
        <f>G229+G233</f>
        <v>2292</v>
      </c>
      <c r="H228" s="16">
        <f>H229+H233</f>
        <v>2220</v>
      </c>
      <c r="I228" s="16">
        <f>I229+I233</f>
        <v>2250</v>
      </c>
      <c r="J228" s="61"/>
      <c r="K228" s="62"/>
      <c r="L228" s="62"/>
      <c r="M228" s="62"/>
      <c r="N228" s="63"/>
    </row>
    <row r="229" spans="1:14" x14ac:dyDescent="0.25">
      <c r="A229" s="55" t="s">
        <v>368</v>
      </c>
      <c r="B229" s="58" t="s">
        <v>369</v>
      </c>
      <c r="C229" s="58" t="s">
        <v>185</v>
      </c>
      <c r="D229" s="17"/>
      <c r="E229" s="17" t="s">
        <v>195</v>
      </c>
      <c r="F229" s="18">
        <f>SUM(F230:F232)</f>
        <v>1650</v>
      </c>
      <c r="G229" s="18">
        <f>SUM(G230:G232)</f>
        <v>1877.2</v>
      </c>
      <c r="H229" s="18">
        <f>SUM(H230:H232)</f>
        <v>2000</v>
      </c>
      <c r="I229" s="18">
        <f>SUM(I230:I232)</f>
        <v>2000</v>
      </c>
      <c r="J229" s="17" t="s">
        <v>370</v>
      </c>
      <c r="K229" s="19" t="s">
        <v>24</v>
      </c>
      <c r="L229" s="19">
        <v>6</v>
      </c>
      <c r="M229" s="19">
        <v>7</v>
      </c>
      <c r="N229" s="43">
        <v>4</v>
      </c>
    </row>
    <row r="230" spans="1:14" x14ac:dyDescent="0.25">
      <c r="A230" s="56"/>
      <c r="B230" s="59"/>
      <c r="C230" s="59"/>
      <c r="D230" s="20" t="s">
        <v>30</v>
      </c>
      <c r="E230" s="20"/>
      <c r="F230" s="21">
        <v>250</v>
      </c>
      <c r="G230" s="21">
        <v>250</v>
      </c>
      <c r="H230" s="21">
        <v>1200</v>
      </c>
      <c r="I230" s="21">
        <v>1200</v>
      </c>
      <c r="J230" s="20"/>
      <c r="K230" s="22"/>
      <c r="L230" s="22"/>
      <c r="M230" s="22"/>
      <c r="N230" s="44"/>
    </row>
    <row r="231" spans="1:14" x14ac:dyDescent="0.25">
      <c r="A231" s="56"/>
      <c r="B231" s="59"/>
      <c r="C231" s="59"/>
      <c r="D231" s="20" t="s">
        <v>35</v>
      </c>
      <c r="E231" s="20"/>
      <c r="F231" s="21">
        <v>200</v>
      </c>
      <c r="G231" s="21">
        <v>200</v>
      </c>
      <c r="H231" s="21">
        <v>0</v>
      </c>
      <c r="I231" s="21">
        <v>0</v>
      </c>
      <c r="J231" s="20"/>
      <c r="K231" s="22"/>
      <c r="L231" s="22"/>
      <c r="M231" s="22"/>
      <c r="N231" s="44"/>
    </row>
    <row r="232" spans="1:14" ht="15.75" thickBot="1" x14ac:dyDescent="0.3">
      <c r="A232" s="57"/>
      <c r="B232" s="60"/>
      <c r="C232" s="60"/>
      <c r="D232" s="20" t="s">
        <v>289</v>
      </c>
      <c r="E232" s="20"/>
      <c r="F232" s="21">
        <v>1200</v>
      </c>
      <c r="G232" s="21">
        <v>1427.2</v>
      </c>
      <c r="H232" s="21">
        <v>800</v>
      </c>
      <c r="I232" s="21">
        <v>800</v>
      </c>
      <c r="J232" s="20"/>
      <c r="K232" s="22"/>
      <c r="L232" s="22"/>
      <c r="M232" s="22"/>
      <c r="N232" s="44"/>
    </row>
    <row r="233" spans="1:14" ht="30" x14ac:dyDescent="0.25">
      <c r="A233" s="55" t="s">
        <v>371</v>
      </c>
      <c r="B233" s="58" t="s">
        <v>372</v>
      </c>
      <c r="C233" s="58" t="s">
        <v>185</v>
      </c>
      <c r="D233" s="17"/>
      <c r="E233" s="17"/>
      <c r="F233" s="18">
        <f>SUM(F234:F235)</f>
        <v>414.8</v>
      </c>
      <c r="G233" s="18">
        <f>SUM(G234:G235)</f>
        <v>414.8</v>
      </c>
      <c r="H233" s="18">
        <f>SUM(H234:H235)</f>
        <v>220</v>
      </c>
      <c r="I233" s="18">
        <f>SUM(I234:I235)</f>
        <v>250</v>
      </c>
      <c r="J233" s="17" t="s">
        <v>373</v>
      </c>
      <c r="K233" s="19" t="s">
        <v>24</v>
      </c>
      <c r="L233" s="19">
        <v>9</v>
      </c>
      <c r="M233" s="19">
        <v>15</v>
      </c>
      <c r="N233" s="43">
        <v>30</v>
      </c>
    </row>
    <row r="234" spans="1:14" x14ac:dyDescent="0.25">
      <c r="A234" s="56"/>
      <c r="B234" s="59"/>
      <c r="C234" s="59"/>
      <c r="D234" s="20" t="s">
        <v>35</v>
      </c>
      <c r="E234" s="20"/>
      <c r="F234" s="21">
        <v>314.8</v>
      </c>
      <c r="G234" s="21">
        <v>314.8</v>
      </c>
      <c r="H234" s="21">
        <v>0</v>
      </c>
      <c r="I234" s="21">
        <v>0</v>
      </c>
      <c r="J234" s="20"/>
      <c r="K234" s="22"/>
      <c r="L234" s="22"/>
      <c r="M234" s="22"/>
      <c r="N234" s="44"/>
    </row>
    <row r="235" spans="1:14" ht="15.75" thickBot="1" x14ac:dyDescent="0.3">
      <c r="A235" s="57"/>
      <c r="B235" s="60"/>
      <c r="C235" s="60"/>
      <c r="D235" s="20" t="s">
        <v>30</v>
      </c>
      <c r="E235" s="20"/>
      <c r="F235" s="21">
        <v>100</v>
      </c>
      <c r="G235" s="21">
        <v>100</v>
      </c>
      <c r="H235" s="21">
        <v>220</v>
      </c>
      <c r="I235" s="21">
        <v>250</v>
      </c>
      <c r="J235" s="20"/>
      <c r="K235" s="22"/>
      <c r="L235" s="22"/>
      <c r="M235" s="22"/>
      <c r="N235" s="44"/>
    </row>
    <row r="236" spans="1:14" ht="30.75" thickBot="1" x14ac:dyDescent="0.3">
      <c r="A236" s="8" t="s">
        <v>374</v>
      </c>
      <c r="B236" s="9" t="s">
        <v>375</v>
      </c>
      <c r="C236" s="87" t="s">
        <v>376</v>
      </c>
      <c r="D236" s="88"/>
      <c r="E236" s="89"/>
      <c r="F236" s="10">
        <f>SUM(F237:F237)</f>
        <v>5422.8</v>
      </c>
      <c r="G236" s="10">
        <f>SUM(G237:G237)</f>
        <v>18438.099999999999</v>
      </c>
      <c r="H236" s="10">
        <f>SUM(H237:H237)</f>
        <v>3317</v>
      </c>
      <c r="I236" s="10">
        <f>SUM(I237:I237)</f>
        <v>491</v>
      </c>
      <c r="J236" s="90"/>
      <c r="K236" s="91"/>
      <c r="L236" s="91"/>
      <c r="M236" s="91"/>
      <c r="N236" s="92"/>
    </row>
    <row r="237" spans="1:14" x14ac:dyDescent="0.25">
      <c r="A237" s="64" t="s">
        <v>377</v>
      </c>
      <c r="B237" s="66" t="s">
        <v>378</v>
      </c>
      <c r="C237" s="67"/>
      <c r="D237" s="67"/>
      <c r="E237" s="68"/>
      <c r="F237" s="12">
        <f>F238+F239+F240+F241+F248</f>
        <v>5422.8</v>
      </c>
      <c r="G237" s="12">
        <f>G238+G239+G240+G241+G248</f>
        <v>18438.099999999999</v>
      </c>
      <c r="H237" s="12">
        <f>H238+H239+H240+H241+H248</f>
        <v>3317</v>
      </c>
      <c r="I237" s="12">
        <f>I238+I239+I240+I241+I248</f>
        <v>491</v>
      </c>
      <c r="J237" s="13" t="s">
        <v>379</v>
      </c>
      <c r="K237" s="14" t="s">
        <v>20</v>
      </c>
      <c r="L237" s="14">
        <v>2</v>
      </c>
      <c r="M237" s="14">
        <v>2.5</v>
      </c>
      <c r="N237" s="42">
        <v>2.7</v>
      </c>
    </row>
    <row r="238" spans="1:14" x14ac:dyDescent="0.25">
      <c r="A238" s="96"/>
      <c r="B238" s="97"/>
      <c r="C238" s="98"/>
      <c r="D238" s="98"/>
      <c r="E238" s="99"/>
      <c r="F238" s="26">
        <v>0</v>
      </c>
      <c r="G238" s="26">
        <v>0</v>
      </c>
      <c r="H238" s="26">
        <v>0</v>
      </c>
      <c r="I238" s="26">
        <v>0</v>
      </c>
      <c r="J238" s="27" t="s">
        <v>380</v>
      </c>
      <c r="K238" s="28" t="s">
        <v>24</v>
      </c>
      <c r="L238" s="28">
        <v>12</v>
      </c>
      <c r="M238" s="28">
        <v>12</v>
      </c>
      <c r="N238" s="45">
        <v>14</v>
      </c>
    </row>
    <row r="239" spans="1:14" x14ac:dyDescent="0.25">
      <c r="A239" s="96"/>
      <c r="B239" s="97"/>
      <c r="C239" s="98"/>
      <c r="D239" s="98"/>
      <c r="E239" s="99"/>
      <c r="F239" s="26">
        <v>0</v>
      </c>
      <c r="G239" s="26">
        <v>0</v>
      </c>
      <c r="H239" s="26">
        <v>0</v>
      </c>
      <c r="I239" s="26">
        <v>0</v>
      </c>
      <c r="J239" s="27" t="s">
        <v>381</v>
      </c>
      <c r="K239" s="28" t="s">
        <v>20</v>
      </c>
      <c r="L239" s="28">
        <v>4.2</v>
      </c>
      <c r="M239" s="28">
        <v>4.5</v>
      </c>
      <c r="N239" s="45">
        <v>4.8</v>
      </c>
    </row>
    <row r="240" spans="1:14" ht="15.75" thickBot="1" x14ac:dyDescent="0.3">
      <c r="A240" s="65"/>
      <c r="B240" s="69"/>
      <c r="C240" s="70"/>
      <c r="D240" s="70"/>
      <c r="E240" s="71"/>
      <c r="F240" s="26">
        <v>0</v>
      </c>
      <c r="G240" s="26">
        <v>0</v>
      </c>
      <c r="H240" s="26">
        <v>0</v>
      </c>
      <c r="I240" s="26">
        <v>0</v>
      </c>
      <c r="J240" s="27" t="s">
        <v>382</v>
      </c>
      <c r="K240" s="28" t="s">
        <v>20</v>
      </c>
      <c r="L240" s="28">
        <v>10</v>
      </c>
      <c r="M240" s="28">
        <v>15</v>
      </c>
      <c r="N240" s="45">
        <v>18</v>
      </c>
    </row>
    <row r="241" spans="1:14" ht="26.25" customHeight="1" thickBot="1" x14ac:dyDescent="0.3">
      <c r="A241" s="15" t="s">
        <v>383</v>
      </c>
      <c r="B241" s="72" t="s">
        <v>384</v>
      </c>
      <c r="C241" s="73"/>
      <c r="D241" s="73"/>
      <c r="E241" s="74"/>
      <c r="F241" s="16">
        <f>F242+F243+F246</f>
        <v>115.4</v>
      </c>
      <c r="G241" s="16">
        <f>G242+G243+G246</f>
        <v>115.4</v>
      </c>
      <c r="H241" s="16">
        <f>H242+H243+H246</f>
        <v>118</v>
      </c>
      <c r="I241" s="16">
        <f>I242+I243+I246</f>
        <v>119</v>
      </c>
      <c r="J241" s="61"/>
      <c r="K241" s="62"/>
      <c r="L241" s="62"/>
      <c r="M241" s="62"/>
      <c r="N241" s="63"/>
    </row>
    <row r="242" spans="1:14" ht="30.75" thickBot="1" x14ac:dyDescent="0.3">
      <c r="A242" s="23" t="s">
        <v>385</v>
      </c>
      <c r="B242" s="24" t="s">
        <v>386</v>
      </c>
      <c r="C242" s="17" t="s">
        <v>376</v>
      </c>
      <c r="D242" s="17" t="s">
        <v>30</v>
      </c>
      <c r="E242" s="17"/>
      <c r="F242" s="25">
        <v>48.7</v>
      </c>
      <c r="G242" s="25">
        <v>48.7</v>
      </c>
      <c r="H242" s="25">
        <v>49.7</v>
      </c>
      <c r="I242" s="25">
        <v>50</v>
      </c>
      <c r="J242" s="17" t="s">
        <v>387</v>
      </c>
      <c r="K242" s="19" t="s">
        <v>24</v>
      </c>
      <c r="L242" s="19">
        <v>8</v>
      </c>
      <c r="M242" s="19">
        <v>8</v>
      </c>
      <c r="N242" s="43">
        <v>8</v>
      </c>
    </row>
    <row r="243" spans="1:14" x14ac:dyDescent="0.25">
      <c r="A243" s="55" t="s">
        <v>388</v>
      </c>
      <c r="B243" s="58" t="s">
        <v>389</v>
      </c>
      <c r="C243" s="58" t="s">
        <v>376</v>
      </c>
      <c r="D243" s="17" t="s">
        <v>30</v>
      </c>
      <c r="E243" s="17"/>
      <c r="F243" s="18">
        <f>SUM(F244:F245)+22.2</f>
        <v>22.2</v>
      </c>
      <c r="G243" s="18">
        <f>SUM(G244:G245)+22.2</f>
        <v>22.2</v>
      </c>
      <c r="H243" s="18">
        <f>SUM(H244:H245)+22.8</f>
        <v>22.8</v>
      </c>
      <c r="I243" s="18">
        <f>SUM(I244:I245)+23</f>
        <v>23</v>
      </c>
      <c r="J243" s="17" t="s">
        <v>390</v>
      </c>
      <c r="K243" s="19" t="s">
        <v>24</v>
      </c>
      <c r="L243" s="19">
        <v>5</v>
      </c>
      <c r="M243" s="19">
        <v>5</v>
      </c>
      <c r="N243" s="43">
        <v>5</v>
      </c>
    </row>
    <row r="244" spans="1:14" x14ac:dyDescent="0.25">
      <c r="A244" s="56"/>
      <c r="B244" s="59"/>
      <c r="C244" s="59"/>
      <c r="D244" s="20"/>
      <c r="E244" s="20"/>
      <c r="F244" s="21">
        <v>0</v>
      </c>
      <c r="G244" s="21">
        <v>0</v>
      </c>
      <c r="H244" s="21">
        <v>0</v>
      </c>
      <c r="I244" s="21">
        <v>0</v>
      </c>
      <c r="J244" s="20" t="s">
        <v>391</v>
      </c>
      <c r="K244" s="22" t="s">
        <v>24</v>
      </c>
      <c r="L244" s="22">
        <v>6</v>
      </c>
      <c r="M244" s="22">
        <v>6</v>
      </c>
      <c r="N244" s="44">
        <v>6</v>
      </c>
    </row>
    <row r="245" spans="1:14" ht="15.75" thickBot="1" x14ac:dyDescent="0.3">
      <c r="A245" s="57"/>
      <c r="B245" s="60"/>
      <c r="C245" s="60"/>
      <c r="D245" s="20"/>
      <c r="E245" s="20"/>
      <c r="F245" s="21">
        <v>0</v>
      </c>
      <c r="G245" s="21">
        <v>0</v>
      </c>
      <c r="H245" s="21">
        <v>0</v>
      </c>
      <c r="I245" s="21">
        <v>0</v>
      </c>
      <c r="J245" s="20" t="s">
        <v>392</v>
      </c>
      <c r="K245" s="22" t="s">
        <v>393</v>
      </c>
      <c r="L245" s="22">
        <v>280</v>
      </c>
      <c r="M245" s="22">
        <v>280</v>
      </c>
      <c r="N245" s="44">
        <v>280</v>
      </c>
    </row>
    <row r="246" spans="1:14" x14ac:dyDescent="0.25">
      <c r="A246" s="55" t="s">
        <v>394</v>
      </c>
      <c r="B246" s="58" t="s">
        <v>395</v>
      </c>
      <c r="C246" s="58" t="s">
        <v>376</v>
      </c>
      <c r="D246" s="17" t="s">
        <v>30</v>
      </c>
      <c r="E246" s="17"/>
      <c r="F246" s="18">
        <f>SUM(F247:F247)+44.5</f>
        <v>44.5</v>
      </c>
      <c r="G246" s="18">
        <f>SUM(G247:G247)+44.5</f>
        <v>44.5</v>
      </c>
      <c r="H246" s="18">
        <f>SUM(H247:H247)+45.5</f>
        <v>45.5</v>
      </c>
      <c r="I246" s="18">
        <f>SUM(I247:I247)+46</f>
        <v>46</v>
      </c>
      <c r="J246" s="17" t="s">
        <v>396</v>
      </c>
      <c r="K246" s="19" t="s">
        <v>255</v>
      </c>
      <c r="L246" s="19">
        <v>35</v>
      </c>
      <c r="M246" s="19">
        <v>35</v>
      </c>
      <c r="N246" s="43">
        <v>35</v>
      </c>
    </row>
    <row r="247" spans="1:14" ht="30.75" thickBot="1" x14ac:dyDescent="0.3">
      <c r="A247" s="57"/>
      <c r="B247" s="60"/>
      <c r="C247" s="60"/>
      <c r="D247" s="20"/>
      <c r="E247" s="20"/>
      <c r="F247" s="21">
        <v>0</v>
      </c>
      <c r="G247" s="21">
        <v>0</v>
      </c>
      <c r="H247" s="21">
        <v>0</v>
      </c>
      <c r="I247" s="21">
        <v>0</v>
      </c>
      <c r="J247" s="20" t="s">
        <v>397</v>
      </c>
      <c r="K247" s="22" t="s">
        <v>24</v>
      </c>
      <c r="L247" s="22">
        <v>15</v>
      </c>
      <c r="M247" s="22">
        <v>15</v>
      </c>
      <c r="N247" s="44">
        <v>15</v>
      </c>
    </row>
    <row r="248" spans="1:14" ht="26.25" customHeight="1" thickBot="1" x14ac:dyDescent="0.3">
      <c r="A248" s="15" t="s">
        <v>398</v>
      </c>
      <c r="B248" s="72" t="s">
        <v>399</v>
      </c>
      <c r="C248" s="73"/>
      <c r="D248" s="73"/>
      <c r="E248" s="74"/>
      <c r="F248" s="16">
        <f>F249+F252+F258+F260+F264+F275</f>
        <v>5307.4000000000005</v>
      </c>
      <c r="G248" s="16">
        <f>G249+G252+G258+G260+G264+G275</f>
        <v>18322.699999999997</v>
      </c>
      <c r="H248" s="16">
        <f>H249+H252+H258+H260+H264+H275</f>
        <v>3199</v>
      </c>
      <c r="I248" s="16">
        <f>I249+I252+I258+I260+I264+I275</f>
        <v>372</v>
      </c>
      <c r="J248" s="61"/>
      <c r="K248" s="62"/>
      <c r="L248" s="62"/>
      <c r="M248" s="62"/>
      <c r="N248" s="63"/>
    </row>
    <row r="249" spans="1:14" ht="40.5" customHeight="1" x14ac:dyDescent="0.25">
      <c r="A249" s="55" t="s">
        <v>400</v>
      </c>
      <c r="B249" s="58" t="s">
        <v>401</v>
      </c>
      <c r="C249" s="58" t="s">
        <v>402</v>
      </c>
      <c r="D249" s="17"/>
      <c r="E249" s="17"/>
      <c r="F249" s="18">
        <f>SUM(F250:F251)</f>
        <v>114</v>
      </c>
      <c r="G249" s="18">
        <f>SUM(G250:G251)</f>
        <v>114</v>
      </c>
      <c r="H249" s="18">
        <f>SUM(H250:H251)</f>
        <v>100</v>
      </c>
      <c r="I249" s="18">
        <f>SUM(I250:I251)</f>
        <v>100</v>
      </c>
      <c r="J249" s="17" t="s">
        <v>403</v>
      </c>
      <c r="K249" s="19" t="s">
        <v>24</v>
      </c>
      <c r="L249" s="19">
        <v>10</v>
      </c>
      <c r="M249" s="19">
        <v>10</v>
      </c>
      <c r="N249" s="43">
        <v>10</v>
      </c>
    </row>
    <row r="250" spans="1:14" x14ac:dyDescent="0.25">
      <c r="A250" s="56"/>
      <c r="B250" s="59"/>
      <c r="C250" s="59"/>
      <c r="D250" s="20" t="s">
        <v>35</v>
      </c>
      <c r="E250" s="20"/>
      <c r="F250" s="21">
        <v>64</v>
      </c>
      <c r="G250" s="21">
        <v>64</v>
      </c>
      <c r="H250" s="21">
        <v>0</v>
      </c>
      <c r="I250" s="21">
        <v>0</v>
      </c>
      <c r="J250" s="20"/>
      <c r="K250" s="22"/>
      <c r="L250" s="22"/>
      <c r="M250" s="22"/>
      <c r="N250" s="44"/>
    </row>
    <row r="251" spans="1:14" ht="15.75" thickBot="1" x14ac:dyDescent="0.3">
      <c r="A251" s="57"/>
      <c r="B251" s="60"/>
      <c r="C251" s="60"/>
      <c r="D251" s="20" t="s">
        <v>30</v>
      </c>
      <c r="E251" s="20"/>
      <c r="F251" s="21">
        <v>50</v>
      </c>
      <c r="G251" s="21">
        <v>50</v>
      </c>
      <c r="H251" s="21">
        <v>100</v>
      </c>
      <c r="I251" s="21">
        <v>100</v>
      </c>
      <c r="J251" s="20"/>
      <c r="K251" s="22"/>
      <c r="L251" s="22"/>
      <c r="M251" s="22"/>
      <c r="N251" s="44"/>
    </row>
    <row r="252" spans="1:14" x14ac:dyDescent="0.25">
      <c r="A252" s="55" t="s">
        <v>404</v>
      </c>
      <c r="B252" s="58" t="s">
        <v>405</v>
      </c>
      <c r="C252" s="58" t="s">
        <v>406</v>
      </c>
      <c r="D252" s="17"/>
      <c r="E252" s="17"/>
      <c r="F252" s="18">
        <f>SUM(F253:F257)</f>
        <v>4567</v>
      </c>
      <c r="G252" s="18">
        <f>SUM(G253:G257)</f>
        <v>17864.3</v>
      </c>
      <c r="H252" s="18">
        <f>SUM(H253:H257)</f>
        <v>2000</v>
      </c>
      <c r="I252" s="18">
        <f>SUM(I253:I257)</f>
        <v>0</v>
      </c>
      <c r="J252" s="17" t="s">
        <v>407</v>
      </c>
      <c r="K252" s="19" t="s">
        <v>302</v>
      </c>
      <c r="L252" s="19">
        <v>2</v>
      </c>
      <c r="M252" s="19"/>
      <c r="N252" s="43"/>
    </row>
    <row r="253" spans="1:14" x14ac:dyDescent="0.25">
      <c r="A253" s="56"/>
      <c r="B253" s="59"/>
      <c r="C253" s="59"/>
      <c r="D253" s="20" t="s">
        <v>121</v>
      </c>
      <c r="E253" s="20"/>
      <c r="F253" s="21">
        <v>329.2</v>
      </c>
      <c r="G253" s="21">
        <v>7021.8</v>
      </c>
      <c r="H253" s="21">
        <v>0</v>
      </c>
      <c r="I253" s="21">
        <v>0</v>
      </c>
      <c r="J253" s="20" t="s">
        <v>408</v>
      </c>
      <c r="K253" s="22" t="s">
        <v>24</v>
      </c>
      <c r="L253" s="22">
        <v>1</v>
      </c>
      <c r="M253" s="22"/>
      <c r="N253" s="44"/>
    </row>
    <row r="254" spans="1:14" x14ac:dyDescent="0.25">
      <c r="A254" s="56"/>
      <c r="B254" s="59"/>
      <c r="C254" s="59"/>
      <c r="D254" s="20" t="s">
        <v>30</v>
      </c>
      <c r="E254" s="20"/>
      <c r="F254" s="21">
        <v>40</v>
      </c>
      <c r="G254" s="21">
        <v>3454.6</v>
      </c>
      <c r="H254" s="21">
        <v>2000</v>
      </c>
      <c r="I254" s="21">
        <v>0</v>
      </c>
      <c r="J254" s="20" t="s">
        <v>409</v>
      </c>
      <c r="K254" s="22" t="s">
        <v>24</v>
      </c>
      <c r="L254" s="22">
        <v>1</v>
      </c>
      <c r="M254" s="22">
        <v>1</v>
      </c>
      <c r="N254" s="44"/>
    </row>
    <row r="255" spans="1:14" x14ac:dyDescent="0.25">
      <c r="A255" s="56"/>
      <c r="B255" s="59"/>
      <c r="C255" s="59"/>
      <c r="D255" s="20" t="s">
        <v>35</v>
      </c>
      <c r="E255" s="20"/>
      <c r="F255" s="21">
        <v>467.3</v>
      </c>
      <c r="G255" s="21">
        <v>560.6</v>
      </c>
      <c r="H255" s="21">
        <v>0</v>
      </c>
      <c r="I255" s="21">
        <v>0</v>
      </c>
      <c r="J255" s="20" t="s">
        <v>410</v>
      </c>
      <c r="K255" s="22" t="s">
        <v>24</v>
      </c>
      <c r="L255" s="22">
        <v>2</v>
      </c>
      <c r="M255" s="22"/>
      <c r="N255" s="44"/>
    </row>
    <row r="256" spans="1:14" ht="30" x14ac:dyDescent="0.25">
      <c r="A256" s="56"/>
      <c r="B256" s="59"/>
      <c r="C256" s="59"/>
      <c r="D256" s="20" t="s">
        <v>136</v>
      </c>
      <c r="E256" s="20"/>
      <c r="F256" s="21">
        <v>3730.5</v>
      </c>
      <c r="G256" s="21">
        <v>4.4000000000000004</v>
      </c>
      <c r="H256" s="21">
        <v>0</v>
      </c>
      <c r="I256" s="21">
        <v>0</v>
      </c>
      <c r="J256" s="20" t="s">
        <v>411</v>
      </c>
      <c r="K256" s="22" t="s">
        <v>211</v>
      </c>
      <c r="L256" s="22"/>
      <c r="M256" s="22">
        <v>1</v>
      </c>
      <c r="N256" s="44"/>
    </row>
    <row r="257" spans="1:14" ht="15.75" thickBot="1" x14ac:dyDescent="0.3">
      <c r="A257" s="57"/>
      <c r="B257" s="60"/>
      <c r="C257" s="60"/>
      <c r="D257" s="20" t="s">
        <v>144</v>
      </c>
      <c r="E257" s="20"/>
      <c r="F257" s="21"/>
      <c r="G257" s="21">
        <v>6822.9</v>
      </c>
      <c r="H257" s="21"/>
      <c r="I257" s="21"/>
      <c r="J257" s="20"/>
      <c r="K257" s="22"/>
      <c r="L257" s="22"/>
      <c r="M257" s="22"/>
      <c r="N257" s="44"/>
    </row>
    <row r="258" spans="1:14" ht="30" x14ac:dyDescent="0.25">
      <c r="A258" s="55" t="s">
        <v>412</v>
      </c>
      <c r="B258" s="58" t="s">
        <v>413</v>
      </c>
      <c r="C258" s="58" t="s">
        <v>414</v>
      </c>
      <c r="D258" s="17"/>
      <c r="E258" s="17"/>
      <c r="F258" s="18">
        <f>SUM(F259:F259)</f>
        <v>413.8</v>
      </c>
      <c r="G258" s="18">
        <f>SUM(G259:G259)</f>
        <v>213.8</v>
      </c>
      <c r="H258" s="18">
        <f>SUM(H259:H259)</f>
        <v>170</v>
      </c>
      <c r="I258" s="18">
        <f>SUM(I259:I259)</f>
        <v>150</v>
      </c>
      <c r="J258" s="17" t="s">
        <v>415</v>
      </c>
      <c r="K258" s="19" t="s">
        <v>20</v>
      </c>
      <c r="L258" s="19">
        <v>100</v>
      </c>
      <c r="M258" s="19">
        <v>100</v>
      </c>
      <c r="N258" s="43">
        <v>100</v>
      </c>
    </row>
    <row r="259" spans="1:14" ht="15.75" thickBot="1" x14ac:dyDescent="0.3">
      <c r="A259" s="57"/>
      <c r="B259" s="60"/>
      <c r="C259" s="60"/>
      <c r="D259" s="20" t="s">
        <v>30</v>
      </c>
      <c r="E259" s="20"/>
      <c r="F259" s="21">
        <v>413.8</v>
      </c>
      <c r="G259" s="21">
        <v>213.8</v>
      </c>
      <c r="H259" s="21">
        <v>170</v>
      </c>
      <c r="I259" s="21">
        <v>150</v>
      </c>
      <c r="J259" s="20" t="s">
        <v>416</v>
      </c>
      <c r="K259" s="22" t="s">
        <v>24</v>
      </c>
      <c r="L259" s="22">
        <v>1</v>
      </c>
      <c r="M259" s="22">
        <v>0</v>
      </c>
      <c r="N259" s="44">
        <v>0</v>
      </c>
    </row>
    <row r="260" spans="1:14" x14ac:dyDescent="0.25">
      <c r="A260" s="55" t="s">
        <v>417</v>
      </c>
      <c r="B260" s="58" t="s">
        <v>418</v>
      </c>
      <c r="C260" s="58" t="s">
        <v>419</v>
      </c>
      <c r="D260" s="17"/>
      <c r="E260" s="17"/>
      <c r="F260" s="18">
        <f>SUM(F261:F263)</f>
        <v>90</v>
      </c>
      <c r="G260" s="18">
        <f>SUM(G261:G263)</f>
        <v>8</v>
      </c>
      <c r="H260" s="18">
        <f>SUM(H261:H263)</f>
        <v>807</v>
      </c>
      <c r="I260" s="18">
        <f>SUM(I261:I263)</f>
        <v>0</v>
      </c>
      <c r="J260" s="17" t="s">
        <v>420</v>
      </c>
      <c r="K260" s="19" t="s">
        <v>20</v>
      </c>
      <c r="L260" s="19">
        <v>100</v>
      </c>
      <c r="M260" s="19">
        <v>0</v>
      </c>
      <c r="N260" s="43">
        <v>0</v>
      </c>
    </row>
    <row r="261" spans="1:14" x14ac:dyDescent="0.25">
      <c r="A261" s="56"/>
      <c r="B261" s="59"/>
      <c r="C261" s="59"/>
      <c r="D261" s="20" t="s">
        <v>30</v>
      </c>
      <c r="E261" s="20"/>
      <c r="F261" s="21">
        <v>90</v>
      </c>
      <c r="G261" s="21">
        <v>8</v>
      </c>
      <c r="H261" s="21">
        <v>807</v>
      </c>
      <c r="I261" s="21">
        <v>0</v>
      </c>
      <c r="J261" s="20" t="s">
        <v>421</v>
      </c>
      <c r="K261" s="22" t="s">
        <v>24</v>
      </c>
      <c r="L261" s="22">
        <v>1</v>
      </c>
      <c r="M261" s="22">
        <v>0</v>
      </c>
      <c r="N261" s="44">
        <v>0</v>
      </c>
    </row>
    <row r="262" spans="1:14" x14ac:dyDescent="0.25">
      <c r="A262" s="56"/>
      <c r="B262" s="59"/>
      <c r="C262" s="59"/>
      <c r="D262" s="20"/>
      <c r="E262" s="20"/>
      <c r="F262" s="21">
        <v>0</v>
      </c>
      <c r="G262" s="21">
        <v>0</v>
      </c>
      <c r="H262" s="21">
        <v>0</v>
      </c>
      <c r="I262" s="21">
        <v>0</v>
      </c>
      <c r="J262" s="20" t="s">
        <v>422</v>
      </c>
      <c r="K262" s="22" t="s">
        <v>20</v>
      </c>
      <c r="L262" s="22">
        <v>0</v>
      </c>
      <c r="M262" s="22">
        <v>100</v>
      </c>
      <c r="N262" s="44">
        <v>0</v>
      </c>
    </row>
    <row r="263" spans="1:14" ht="30.75" thickBot="1" x14ac:dyDescent="0.3">
      <c r="A263" s="57"/>
      <c r="B263" s="60"/>
      <c r="C263" s="60"/>
      <c r="D263" s="20"/>
      <c r="E263" s="20"/>
      <c r="F263" s="21">
        <v>0</v>
      </c>
      <c r="G263" s="21">
        <v>0</v>
      </c>
      <c r="H263" s="21">
        <v>0</v>
      </c>
      <c r="I263" s="21">
        <v>0</v>
      </c>
      <c r="J263" s="20" t="s">
        <v>423</v>
      </c>
      <c r="K263" s="22" t="s">
        <v>20</v>
      </c>
      <c r="L263" s="22">
        <v>0</v>
      </c>
      <c r="M263" s="22">
        <v>100</v>
      </c>
      <c r="N263" s="44">
        <v>0</v>
      </c>
    </row>
    <row r="264" spans="1:14" x14ac:dyDescent="0.25">
      <c r="A264" s="55" t="s">
        <v>424</v>
      </c>
      <c r="B264" s="58" t="s">
        <v>425</v>
      </c>
      <c r="C264" s="58" t="s">
        <v>376</v>
      </c>
      <c r="D264" s="17"/>
      <c r="E264" s="17"/>
      <c r="F264" s="18">
        <f>SUM(F265:F274)</f>
        <v>49.1</v>
      </c>
      <c r="G264" s="18">
        <f>SUM(G265:G274)</f>
        <v>49.1</v>
      </c>
      <c r="H264" s="18">
        <f>SUM(H265:H274)</f>
        <v>48.5</v>
      </c>
      <c r="I264" s="18">
        <f>SUM(I265:I274)</f>
        <v>48.5</v>
      </c>
      <c r="J264" s="17" t="s">
        <v>426</v>
      </c>
      <c r="K264" s="19" t="s">
        <v>24</v>
      </c>
      <c r="L264" s="19">
        <v>4</v>
      </c>
      <c r="M264" s="19">
        <v>4</v>
      </c>
      <c r="N264" s="43">
        <v>4</v>
      </c>
    </row>
    <row r="265" spans="1:14" x14ac:dyDescent="0.25">
      <c r="A265" s="56"/>
      <c r="B265" s="59"/>
      <c r="C265" s="59"/>
      <c r="D265" s="20" t="s">
        <v>30</v>
      </c>
      <c r="E265" s="20"/>
      <c r="F265" s="21">
        <v>48.5</v>
      </c>
      <c r="G265" s="21">
        <v>48.5</v>
      </c>
      <c r="H265" s="21">
        <v>48.5</v>
      </c>
      <c r="I265" s="21">
        <v>48.5</v>
      </c>
      <c r="J265" s="20" t="s">
        <v>427</v>
      </c>
      <c r="K265" s="22" t="s">
        <v>24</v>
      </c>
      <c r="L265" s="22">
        <v>1</v>
      </c>
      <c r="M265" s="22">
        <v>1</v>
      </c>
      <c r="N265" s="44">
        <v>1</v>
      </c>
    </row>
    <row r="266" spans="1:14" x14ac:dyDescent="0.25">
      <c r="A266" s="56"/>
      <c r="B266" s="59"/>
      <c r="C266" s="59"/>
      <c r="D266" s="20" t="s">
        <v>35</v>
      </c>
      <c r="E266" s="20"/>
      <c r="F266" s="21">
        <v>0.6</v>
      </c>
      <c r="G266" s="21">
        <v>0.6</v>
      </c>
      <c r="H266" s="21">
        <v>0</v>
      </c>
      <c r="I266" s="21">
        <v>0</v>
      </c>
      <c r="J266" s="20" t="s">
        <v>428</v>
      </c>
      <c r="K266" s="22" t="s">
        <v>24</v>
      </c>
      <c r="L266" s="22">
        <v>0</v>
      </c>
      <c r="M266" s="22">
        <v>1</v>
      </c>
      <c r="N266" s="44">
        <v>1</v>
      </c>
    </row>
    <row r="267" spans="1:14" x14ac:dyDescent="0.25">
      <c r="A267" s="56"/>
      <c r="B267" s="59"/>
      <c r="C267" s="59"/>
      <c r="D267" s="20"/>
      <c r="E267" s="20"/>
      <c r="F267" s="21">
        <v>0</v>
      </c>
      <c r="G267" s="21">
        <v>0</v>
      </c>
      <c r="H267" s="21">
        <v>0</v>
      </c>
      <c r="I267" s="21">
        <v>0</v>
      </c>
      <c r="J267" s="20" t="s">
        <v>429</v>
      </c>
      <c r="K267" s="22" t="s">
        <v>24</v>
      </c>
      <c r="L267" s="22">
        <v>6</v>
      </c>
      <c r="M267" s="22">
        <v>6</v>
      </c>
      <c r="N267" s="44">
        <v>6</v>
      </c>
    </row>
    <row r="268" spans="1:14" x14ac:dyDescent="0.25">
      <c r="A268" s="56"/>
      <c r="B268" s="59"/>
      <c r="C268" s="59"/>
      <c r="D268" s="20"/>
      <c r="E268" s="20"/>
      <c r="F268" s="21">
        <v>0</v>
      </c>
      <c r="G268" s="21">
        <v>0</v>
      </c>
      <c r="H268" s="21">
        <v>0</v>
      </c>
      <c r="I268" s="21">
        <v>0</v>
      </c>
      <c r="J268" s="20" t="s">
        <v>430</v>
      </c>
      <c r="K268" s="22" t="s">
        <v>24</v>
      </c>
      <c r="L268" s="22">
        <v>1</v>
      </c>
      <c r="M268" s="22">
        <v>1</v>
      </c>
      <c r="N268" s="44">
        <v>1</v>
      </c>
    </row>
    <row r="269" spans="1:14" x14ac:dyDescent="0.25">
      <c r="A269" s="56"/>
      <c r="B269" s="59"/>
      <c r="C269" s="59"/>
      <c r="D269" s="20"/>
      <c r="E269" s="20"/>
      <c r="F269" s="21">
        <v>0</v>
      </c>
      <c r="G269" s="21">
        <v>0</v>
      </c>
      <c r="H269" s="21">
        <v>0</v>
      </c>
      <c r="I269" s="21">
        <v>0</v>
      </c>
      <c r="J269" s="20" t="s">
        <v>431</v>
      </c>
      <c r="K269" s="22" t="s">
        <v>24</v>
      </c>
      <c r="L269" s="22">
        <v>0</v>
      </c>
      <c r="M269" s="22">
        <v>1</v>
      </c>
      <c r="N269" s="44">
        <v>0</v>
      </c>
    </row>
    <row r="270" spans="1:14" ht="30" x14ac:dyDescent="0.25">
      <c r="A270" s="56"/>
      <c r="B270" s="59"/>
      <c r="C270" s="59"/>
      <c r="D270" s="20"/>
      <c r="E270" s="20"/>
      <c r="F270" s="21">
        <v>0</v>
      </c>
      <c r="G270" s="21">
        <v>0</v>
      </c>
      <c r="H270" s="21">
        <v>0</v>
      </c>
      <c r="I270" s="21">
        <v>0</v>
      </c>
      <c r="J270" s="20" t="s">
        <v>432</v>
      </c>
      <c r="K270" s="22" t="s">
        <v>24</v>
      </c>
      <c r="L270" s="22">
        <v>1</v>
      </c>
      <c r="M270" s="22">
        <v>1</v>
      </c>
      <c r="N270" s="44">
        <v>1</v>
      </c>
    </row>
    <row r="271" spans="1:14" ht="30" x14ac:dyDescent="0.25">
      <c r="A271" s="56"/>
      <c r="B271" s="59"/>
      <c r="C271" s="59"/>
      <c r="D271" s="20"/>
      <c r="E271" s="20"/>
      <c r="F271" s="21">
        <v>0</v>
      </c>
      <c r="G271" s="21">
        <v>0</v>
      </c>
      <c r="H271" s="21">
        <v>0</v>
      </c>
      <c r="I271" s="21">
        <v>0</v>
      </c>
      <c r="J271" s="20" t="s">
        <v>433</v>
      </c>
      <c r="K271" s="22" t="s">
        <v>24</v>
      </c>
      <c r="L271" s="22">
        <v>1</v>
      </c>
      <c r="M271" s="22">
        <v>0</v>
      </c>
      <c r="N271" s="44">
        <v>1</v>
      </c>
    </row>
    <row r="272" spans="1:14" x14ac:dyDescent="0.25">
      <c r="A272" s="56"/>
      <c r="B272" s="59"/>
      <c r="C272" s="59"/>
      <c r="D272" s="20"/>
      <c r="E272" s="20"/>
      <c r="F272" s="21">
        <v>0</v>
      </c>
      <c r="G272" s="21">
        <v>0</v>
      </c>
      <c r="H272" s="21">
        <v>0</v>
      </c>
      <c r="I272" s="21">
        <v>0</v>
      </c>
      <c r="J272" s="20" t="s">
        <v>434</v>
      </c>
      <c r="K272" s="22" t="s">
        <v>24</v>
      </c>
      <c r="L272" s="22">
        <v>1</v>
      </c>
      <c r="M272" s="22">
        <v>1</v>
      </c>
      <c r="N272" s="44">
        <v>1</v>
      </c>
    </row>
    <row r="273" spans="1:14" x14ac:dyDescent="0.25">
      <c r="A273" s="56"/>
      <c r="B273" s="59"/>
      <c r="C273" s="59"/>
      <c r="D273" s="20"/>
      <c r="E273" s="20"/>
      <c r="F273" s="21">
        <v>0</v>
      </c>
      <c r="G273" s="21">
        <v>0</v>
      </c>
      <c r="H273" s="21">
        <v>0</v>
      </c>
      <c r="I273" s="21">
        <v>0</v>
      </c>
      <c r="J273" s="20" t="s">
        <v>435</v>
      </c>
      <c r="K273" s="22" t="s">
        <v>255</v>
      </c>
      <c r="L273" s="22">
        <v>1</v>
      </c>
      <c r="M273" s="22">
        <v>1</v>
      </c>
      <c r="N273" s="44">
        <v>1</v>
      </c>
    </row>
    <row r="274" spans="1:14" ht="30.75" thickBot="1" x14ac:dyDescent="0.3">
      <c r="A274" s="57"/>
      <c r="B274" s="60"/>
      <c r="C274" s="60"/>
      <c r="D274" s="20"/>
      <c r="E274" s="20"/>
      <c r="F274" s="21">
        <v>0</v>
      </c>
      <c r="G274" s="21">
        <v>0</v>
      </c>
      <c r="H274" s="21">
        <v>0</v>
      </c>
      <c r="I274" s="21">
        <v>0</v>
      </c>
      <c r="J274" s="20" t="s">
        <v>436</v>
      </c>
      <c r="K274" s="22" t="s">
        <v>24</v>
      </c>
      <c r="L274" s="22">
        <v>1</v>
      </c>
      <c r="M274" s="22">
        <v>1</v>
      </c>
      <c r="N274" s="44">
        <v>1</v>
      </c>
    </row>
    <row r="275" spans="1:14" ht="30" x14ac:dyDescent="0.25">
      <c r="A275" s="55" t="s">
        <v>437</v>
      </c>
      <c r="B275" s="58" t="s">
        <v>438</v>
      </c>
      <c r="C275" s="58" t="s">
        <v>376</v>
      </c>
      <c r="D275" s="17"/>
      <c r="E275" s="17"/>
      <c r="F275" s="18">
        <f>SUM(F276:F276)</f>
        <v>73.5</v>
      </c>
      <c r="G275" s="18">
        <f>SUM(G276:G276)</f>
        <v>73.5</v>
      </c>
      <c r="H275" s="18">
        <f>SUM(H276:H276)</f>
        <v>73.5</v>
      </c>
      <c r="I275" s="18">
        <f>SUM(I276:I276)</f>
        <v>73.5</v>
      </c>
      <c r="J275" s="17" t="s">
        <v>439</v>
      </c>
      <c r="K275" s="19" t="s">
        <v>24</v>
      </c>
      <c r="L275" s="19">
        <v>12</v>
      </c>
      <c r="M275" s="19">
        <v>12</v>
      </c>
      <c r="N275" s="43">
        <v>12</v>
      </c>
    </row>
    <row r="276" spans="1:14" ht="15.75" thickBot="1" x14ac:dyDescent="0.3">
      <c r="A276" s="57"/>
      <c r="B276" s="60"/>
      <c r="C276" s="60"/>
      <c r="D276" s="20" t="s">
        <v>30</v>
      </c>
      <c r="E276" s="20"/>
      <c r="F276" s="21">
        <v>73.5</v>
      </c>
      <c r="G276" s="21">
        <v>73.5</v>
      </c>
      <c r="H276" s="21">
        <v>73.5</v>
      </c>
      <c r="I276" s="21">
        <v>73.5</v>
      </c>
      <c r="J276" s="20"/>
      <c r="K276" s="22"/>
      <c r="L276" s="22"/>
      <c r="M276" s="22"/>
      <c r="N276" s="44"/>
    </row>
    <row r="277" spans="1:14" ht="30.75" thickBot="1" x14ac:dyDescent="0.3">
      <c r="A277" s="8" t="s">
        <v>440</v>
      </c>
      <c r="B277" s="9" t="s">
        <v>441</v>
      </c>
      <c r="C277" s="87" t="s">
        <v>442</v>
      </c>
      <c r="D277" s="88"/>
      <c r="E277" s="89"/>
      <c r="F277" s="10">
        <f>SUM(F278:F278)</f>
        <v>1624.5</v>
      </c>
      <c r="G277" s="10">
        <f>SUM(G278:G278)</f>
        <v>1663.2</v>
      </c>
      <c r="H277" s="10">
        <f>SUM(H278:H278)</f>
        <v>900.5</v>
      </c>
      <c r="I277" s="10">
        <f>SUM(I278:I278)</f>
        <v>896</v>
      </c>
      <c r="J277" s="90"/>
      <c r="K277" s="91"/>
      <c r="L277" s="91"/>
      <c r="M277" s="91"/>
      <c r="N277" s="92"/>
    </row>
    <row r="278" spans="1:14" ht="30.75" thickBot="1" x14ac:dyDescent="0.3">
      <c r="A278" s="11" t="s">
        <v>443</v>
      </c>
      <c r="B278" s="93" t="s">
        <v>444</v>
      </c>
      <c r="C278" s="94"/>
      <c r="D278" s="94"/>
      <c r="E278" s="95"/>
      <c r="F278" s="12">
        <f>F279+F284+F293</f>
        <v>1624.5</v>
      </c>
      <c r="G278" s="12">
        <f>G279+G284+G293</f>
        <v>1663.2</v>
      </c>
      <c r="H278" s="12">
        <f>H279+H284+H293</f>
        <v>900.5</v>
      </c>
      <c r="I278" s="12">
        <f>I279+I284+I293</f>
        <v>896</v>
      </c>
      <c r="J278" s="13" t="s">
        <v>445</v>
      </c>
      <c r="K278" s="14" t="s">
        <v>20</v>
      </c>
      <c r="L278" s="14">
        <v>85</v>
      </c>
      <c r="M278" s="14">
        <v>90</v>
      </c>
      <c r="N278" s="42">
        <v>92</v>
      </c>
    </row>
    <row r="279" spans="1:14" ht="26.25" customHeight="1" thickBot="1" x14ac:dyDescent="0.3">
      <c r="A279" s="15" t="s">
        <v>446</v>
      </c>
      <c r="B279" s="72" t="s">
        <v>447</v>
      </c>
      <c r="C279" s="73"/>
      <c r="D279" s="73"/>
      <c r="E279" s="74"/>
      <c r="F279" s="16">
        <f>F280+F282+F283</f>
        <v>85</v>
      </c>
      <c r="G279" s="16">
        <f>G280+G282+G283</f>
        <v>91</v>
      </c>
      <c r="H279" s="16">
        <f>H280+H282+H283</f>
        <v>85</v>
      </c>
      <c r="I279" s="16">
        <f>I280+I282+I283</f>
        <v>70</v>
      </c>
      <c r="J279" s="61"/>
      <c r="K279" s="62"/>
      <c r="L279" s="62"/>
      <c r="M279" s="62"/>
      <c r="N279" s="63"/>
    </row>
    <row r="280" spans="1:14" ht="51" customHeight="1" x14ac:dyDescent="0.25">
      <c r="A280" s="55" t="s">
        <v>448</v>
      </c>
      <c r="B280" s="58" t="s">
        <v>449</v>
      </c>
      <c r="C280" s="58" t="s">
        <v>442</v>
      </c>
      <c r="D280" s="17"/>
      <c r="E280" s="17"/>
      <c r="F280" s="18">
        <f>SUM(F281:F281)</f>
        <v>35</v>
      </c>
      <c r="G280" s="18">
        <f>SUM(G281:G281)</f>
        <v>35</v>
      </c>
      <c r="H280" s="18">
        <f>SUM(H281:H281)</f>
        <v>35</v>
      </c>
      <c r="I280" s="18">
        <f>SUM(I281:I281)</f>
        <v>20</v>
      </c>
      <c r="J280" s="17" t="s">
        <v>450</v>
      </c>
      <c r="K280" s="19" t="s">
        <v>24</v>
      </c>
      <c r="L280" s="19">
        <v>100</v>
      </c>
      <c r="M280" s="19">
        <v>100</v>
      </c>
      <c r="N280" s="43">
        <v>100</v>
      </c>
    </row>
    <row r="281" spans="1:14" ht="15.75" thickBot="1" x14ac:dyDescent="0.3">
      <c r="A281" s="57"/>
      <c r="B281" s="60"/>
      <c r="C281" s="60"/>
      <c r="D281" s="20" t="s">
        <v>30</v>
      </c>
      <c r="E281" s="20"/>
      <c r="F281" s="21">
        <v>35</v>
      </c>
      <c r="G281" s="21">
        <v>35</v>
      </c>
      <c r="H281" s="21">
        <v>35</v>
      </c>
      <c r="I281" s="21">
        <v>20</v>
      </c>
      <c r="J281" s="20"/>
      <c r="K281" s="22"/>
      <c r="L281" s="22"/>
      <c r="M281" s="22"/>
      <c r="N281" s="44"/>
    </row>
    <row r="282" spans="1:14" ht="30.75" thickBot="1" x14ac:dyDescent="0.3">
      <c r="A282" s="23" t="s">
        <v>451</v>
      </c>
      <c r="B282" s="24" t="s">
        <v>452</v>
      </c>
      <c r="C282" s="17" t="s">
        <v>442</v>
      </c>
      <c r="D282" s="17" t="s">
        <v>30</v>
      </c>
      <c r="E282" s="17"/>
      <c r="F282" s="25">
        <v>20</v>
      </c>
      <c r="G282" s="25">
        <v>20</v>
      </c>
      <c r="H282" s="25">
        <v>20</v>
      </c>
      <c r="I282" s="25">
        <v>20</v>
      </c>
      <c r="J282" s="17" t="s">
        <v>453</v>
      </c>
      <c r="K282" s="19" t="s">
        <v>20</v>
      </c>
      <c r="L282" s="19">
        <v>100</v>
      </c>
      <c r="M282" s="19">
        <v>100</v>
      </c>
      <c r="N282" s="43">
        <v>100</v>
      </c>
    </row>
    <row r="283" spans="1:14" ht="80.25" customHeight="1" thickBot="1" x14ac:dyDescent="0.3">
      <c r="A283" s="23" t="s">
        <v>454</v>
      </c>
      <c r="B283" s="24" t="s">
        <v>455</v>
      </c>
      <c r="C283" s="17" t="s">
        <v>456</v>
      </c>
      <c r="D283" s="17" t="s">
        <v>30</v>
      </c>
      <c r="E283" s="17"/>
      <c r="F283" s="25">
        <v>30</v>
      </c>
      <c r="G283" s="25">
        <v>36</v>
      </c>
      <c r="H283" s="25">
        <v>30</v>
      </c>
      <c r="I283" s="25">
        <v>30</v>
      </c>
      <c r="J283" s="17" t="s">
        <v>457</v>
      </c>
      <c r="K283" s="19" t="s">
        <v>24</v>
      </c>
      <c r="L283" s="19">
        <v>5</v>
      </c>
      <c r="M283" s="19">
        <v>5</v>
      </c>
      <c r="N283" s="43">
        <v>5</v>
      </c>
    </row>
    <row r="284" spans="1:14" ht="30" customHeight="1" thickBot="1" x14ac:dyDescent="0.3">
      <c r="A284" s="15" t="s">
        <v>458</v>
      </c>
      <c r="B284" s="72" t="s">
        <v>459</v>
      </c>
      <c r="C284" s="73"/>
      <c r="D284" s="73"/>
      <c r="E284" s="74"/>
      <c r="F284" s="16">
        <f>F285+F287+F288+F289+F291+F292</f>
        <v>853.2</v>
      </c>
      <c r="G284" s="16">
        <f>G285+G287+G288+G289+G291+G292</f>
        <v>853.2</v>
      </c>
      <c r="H284" s="16">
        <f>H285+H287+H288+H289+H291+H292</f>
        <v>741.5</v>
      </c>
      <c r="I284" s="16">
        <f>I285+I287+I288+I289+I291+I292</f>
        <v>752</v>
      </c>
      <c r="J284" s="61"/>
      <c r="K284" s="62"/>
      <c r="L284" s="62"/>
      <c r="M284" s="62"/>
      <c r="N284" s="63"/>
    </row>
    <row r="285" spans="1:14" ht="62.25" customHeight="1" x14ac:dyDescent="0.25">
      <c r="A285" s="55" t="s">
        <v>460</v>
      </c>
      <c r="B285" s="58" t="s">
        <v>461</v>
      </c>
      <c r="C285" s="58" t="s">
        <v>462</v>
      </c>
      <c r="D285" s="17" t="s">
        <v>30</v>
      </c>
      <c r="E285" s="17"/>
      <c r="F285" s="18">
        <f>SUM(F286:F286)+242.2</f>
        <v>242.2</v>
      </c>
      <c r="G285" s="18">
        <f>SUM(G286:G286)+271.2</f>
        <v>271.2</v>
      </c>
      <c r="H285" s="18">
        <f>SUM(H286:H286)+250</f>
        <v>250</v>
      </c>
      <c r="I285" s="18">
        <f>SUM(I286:I286)+253.5</f>
        <v>253.5</v>
      </c>
      <c r="J285" s="17" t="s">
        <v>463</v>
      </c>
      <c r="K285" s="19" t="s">
        <v>20</v>
      </c>
      <c r="L285" s="19">
        <v>100</v>
      </c>
      <c r="M285" s="19">
        <v>100</v>
      </c>
      <c r="N285" s="43">
        <v>100</v>
      </c>
    </row>
    <row r="286" spans="1:14" ht="15.75" thickBot="1" x14ac:dyDescent="0.3">
      <c r="A286" s="57"/>
      <c r="B286" s="60"/>
      <c r="C286" s="60"/>
      <c r="D286" s="20"/>
      <c r="E286" s="20"/>
      <c r="F286" s="21">
        <v>0</v>
      </c>
      <c r="G286" s="21">
        <v>0</v>
      </c>
      <c r="H286" s="21">
        <v>0</v>
      </c>
      <c r="I286" s="21">
        <v>0</v>
      </c>
      <c r="J286" s="20" t="s">
        <v>464</v>
      </c>
      <c r="K286" s="22" t="s">
        <v>24</v>
      </c>
      <c r="L286" s="22">
        <v>3</v>
      </c>
      <c r="M286" s="22">
        <v>3</v>
      </c>
      <c r="N286" s="44">
        <v>3</v>
      </c>
    </row>
    <row r="287" spans="1:14" ht="60.75" thickBot="1" x14ac:dyDescent="0.3">
      <c r="A287" s="23" t="s">
        <v>465</v>
      </c>
      <c r="B287" s="24" t="s">
        <v>466</v>
      </c>
      <c r="C287" s="17" t="s">
        <v>442</v>
      </c>
      <c r="D287" s="17" t="s">
        <v>30</v>
      </c>
      <c r="E287" s="17"/>
      <c r="F287" s="25">
        <v>27.5</v>
      </c>
      <c r="G287" s="25">
        <v>27.5</v>
      </c>
      <c r="H287" s="25">
        <v>52.5</v>
      </c>
      <c r="I287" s="25">
        <v>54.5</v>
      </c>
      <c r="J287" s="17" t="s">
        <v>467</v>
      </c>
      <c r="K287" s="19" t="s">
        <v>20</v>
      </c>
      <c r="L287" s="19">
        <v>100</v>
      </c>
      <c r="M287" s="19">
        <v>100</v>
      </c>
      <c r="N287" s="43">
        <v>100</v>
      </c>
    </row>
    <row r="288" spans="1:14" ht="60.75" thickBot="1" x14ac:dyDescent="0.3">
      <c r="A288" s="23" t="s">
        <v>468</v>
      </c>
      <c r="B288" s="24" t="s">
        <v>469</v>
      </c>
      <c r="C288" s="17" t="s">
        <v>442</v>
      </c>
      <c r="D288" s="17" t="s">
        <v>30</v>
      </c>
      <c r="E288" s="17"/>
      <c r="F288" s="25">
        <v>1.5</v>
      </c>
      <c r="G288" s="25">
        <v>1.5</v>
      </c>
      <c r="H288" s="25">
        <v>2</v>
      </c>
      <c r="I288" s="25">
        <v>2</v>
      </c>
      <c r="J288" s="17" t="s">
        <v>470</v>
      </c>
      <c r="K288" s="19" t="s">
        <v>24</v>
      </c>
      <c r="L288" s="19">
        <v>5</v>
      </c>
      <c r="M288" s="19">
        <v>5</v>
      </c>
      <c r="N288" s="43">
        <v>3</v>
      </c>
    </row>
    <row r="289" spans="1:14" ht="31.5" customHeight="1" x14ac:dyDescent="0.25">
      <c r="A289" s="55" t="s">
        <v>471</v>
      </c>
      <c r="B289" s="58" t="s">
        <v>472</v>
      </c>
      <c r="C289" s="58" t="s">
        <v>442</v>
      </c>
      <c r="D289" s="17" t="s">
        <v>30</v>
      </c>
      <c r="E289" s="17"/>
      <c r="F289" s="18">
        <f>SUM(F290:F290)+150</f>
        <v>150</v>
      </c>
      <c r="G289" s="18">
        <f>SUM(G290:G290)+121</f>
        <v>121</v>
      </c>
      <c r="H289" s="18">
        <f>SUM(H290:H290)</f>
        <v>0</v>
      </c>
      <c r="I289" s="18">
        <f>SUM(I290:I290)</f>
        <v>0</v>
      </c>
      <c r="J289" s="17" t="s">
        <v>473</v>
      </c>
      <c r="K289" s="19" t="s">
        <v>24</v>
      </c>
      <c r="L289" s="19">
        <v>1</v>
      </c>
      <c r="M289" s="19">
        <v>0</v>
      </c>
      <c r="N289" s="43">
        <v>0</v>
      </c>
    </row>
    <row r="290" spans="1:14" ht="15.75" thickBot="1" x14ac:dyDescent="0.3">
      <c r="A290" s="57"/>
      <c r="B290" s="60"/>
      <c r="C290" s="60"/>
      <c r="D290" s="20"/>
      <c r="E290" s="20"/>
      <c r="F290" s="21">
        <v>0</v>
      </c>
      <c r="G290" s="21">
        <v>0</v>
      </c>
      <c r="H290" s="21">
        <v>0</v>
      </c>
      <c r="I290" s="21">
        <v>0</v>
      </c>
      <c r="J290" s="20" t="s">
        <v>474</v>
      </c>
      <c r="K290" s="22" t="s">
        <v>20</v>
      </c>
      <c r="L290" s="22">
        <v>100</v>
      </c>
      <c r="M290" s="22">
        <v>0</v>
      </c>
      <c r="N290" s="44">
        <v>0</v>
      </c>
    </row>
    <row r="291" spans="1:14" ht="105.75" thickBot="1" x14ac:dyDescent="0.3">
      <c r="A291" s="23" t="s">
        <v>475</v>
      </c>
      <c r="B291" s="24" t="s">
        <v>476</v>
      </c>
      <c r="C291" s="17" t="s">
        <v>442</v>
      </c>
      <c r="D291" s="17" t="s">
        <v>30</v>
      </c>
      <c r="E291" s="17"/>
      <c r="F291" s="25">
        <v>430</v>
      </c>
      <c r="G291" s="25">
        <v>430</v>
      </c>
      <c r="H291" s="25">
        <v>435</v>
      </c>
      <c r="I291" s="25">
        <v>440</v>
      </c>
      <c r="J291" s="17" t="s">
        <v>477</v>
      </c>
      <c r="K291" s="19" t="s">
        <v>20</v>
      </c>
      <c r="L291" s="19">
        <v>100</v>
      </c>
      <c r="M291" s="19">
        <v>100</v>
      </c>
      <c r="N291" s="43">
        <v>100</v>
      </c>
    </row>
    <row r="292" spans="1:14" ht="45.75" thickBot="1" x14ac:dyDescent="0.3">
      <c r="A292" s="23" t="s">
        <v>478</v>
      </c>
      <c r="B292" s="24" t="s">
        <v>479</v>
      </c>
      <c r="C292" s="17" t="s">
        <v>442</v>
      </c>
      <c r="D292" s="17" t="s">
        <v>30</v>
      </c>
      <c r="E292" s="17"/>
      <c r="F292" s="25">
        <v>2</v>
      </c>
      <c r="G292" s="25">
        <v>2</v>
      </c>
      <c r="H292" s="25">
        <v>2</v>
      </c>
      <c r="I292" s="25">
        <v>2</v>
      </c>
      <c r="J292" s="17" t="s">
        <v>480</v>
      </c>
      <c r="K292" s="19" t="s">
        <v>20</v>
      </c>
      <c r="L292" s="19">
        <v>100</v>
      </c>
      <c r="M292" s="19">
        <v>100</v>
      </c>
      <c r="N292" s="43">
        <v>100</v>
      </c>
    </row>
    <row r="293" spans="1:14" ht="29.25" customHeight="1" thickBot="1" x14ac:dyDescent="0.3">
      <c r="A293" s="15" t="s">
        <v>481</v>
      </c>
      <c r="B293" s="72" t="s">
        <v>482</v>
      </c>
      <c r="C293" s="73"/>
      <c r="D293" s="73"/>
      <c r="E293" s="74"/>
      <c r="F293" s="16">
        <f>F294+F295+F299+F302</f>
        <v>686.3</v>
      </c>
      <c r="G293" s="16">
        <f>G294+G295+G299+G302</f>
        <v>719</v>
      </c>
      <c r="H293" s="16">
        <f>H294+H295+H299+H302</f>
        <v>74</v>
      </c>
      <c r="I293" s="16">
        <f>I294+I295+I299+I302</f>
        <v>74</v>
      </c>
      <c r="J293" s="72"/>
      <c r="K293" s="73"/>
      <c r="L293" s="73"/>
      <c r="M293" s="73"/>
      <c r="N293" s="75"/>
    </row>
    <row r="294" spans="1:14" ht="15.75" thickBot="1" x14ac:dyDescent="0.3">
      <c r="A294" s="23" t="s">
        <v>483</v>
      </c>
      <c r="B294" s="24" t="s">
        <v>484</v>
      </c>
      <c r="C294" s="17" t="s">
        <v>442</v>
      </c>
      <c r="D294" s="17" t="s">
        <v>35</v>
      </c>
      <c r="E294" s="17"/>
      <c r="F294" s="25">
        <v>155.19999999999999</v>
      </c>
      <c r="G294" s="25">
        <v>155.19999999999999</v>
      </c>
      <c r="H294" s="25">
        <v>0</v>
      </c>
      <c r="I294" s="25">
        <v>0</v>
      </c>
      <c r="J294" s="17" t="s">
        <v>485</v>
      </c>
      <c r="K294" s="19" t="s">
        <v>255</v>
      </c>
      <c r="L294" s="19">
        <v>3</v>
      </c>
      <c r="M294" s="19">
        <v>0</v>
      </c>
      <c r="N294" s="43">
        <v>0</v>
      </c>
    </row>
    <row r="295" spans="1:14" x14ac:dyDescent="0.25">
      <c r="A295" s="55" t="s">
        <v>486</v>
      </c>
      <c r="B295" s="58" t="s">
        <v>487</v>
      </c>
      <c r="C295" s="58" t="s">
        <v>488</v>
      </c>
      <c r="D295" s="17"/>
      <c r="E295" s="17"/>
      <c r="F295" s="18">
        <f>SUM(F296:F298)</f>
        <v>462.2</v>
      </c>
      <c r="G295" s="18">
        <f>SUM(G296:G298)</f>
        <v>462.2</v>
      </c>
      <c r="H295" s="18">
        <f>SUM(H296:H298)</f>
        <v>0</v>
      </c>
      <c r="I295" s="18">
        <f>SUM(I296:I298)</f>
        <v>0</v>
      </c>
      <c r="J295" s="17" t="s">
        <v>485</v>
      </c>
      <c r="K295" s="19" t="s">
        <v>255</v>
      </c>
      <c r="L295" s="19">
        <v>5</v>
      </c>
      <c r="M295" s="19"/>
      <c r="N295" s="43"/>
    </row>
    <row r="296" spans="1:14" x14ac:dyDescent="0.25">
      <c r="A296" s="56"/>
      <c r="B296" s="59"/>
      <c r="C296" s="59"/>
      <c r="D296" s="20" t="s">
        <v>35</v>
      </c>
      <c r="E296" s="20"/>
      <c r="F296" s="21">
        <v>75.8</v>
      </c>
      <c r="G296" s="21">
        <v>75.8</v>
      </c>
      <c r="H296" s="21">
        <v>0</v>
      </c>
      <c r="I296" s="21">
        <v>0</v>
      </c>
      <c r="J296" s="20"/>
      <c r="K296" s="22"/>
      <c r="L296" s="22"/>
      <c r="M296" s="22"/>
      <c r="N296" s="44"/>
    </row>
    <row r="297" spans="1:14" x14ac:dyDescent="0.25">
      <c r="A297" s="56"/>
      <c r="B297" s="59"/>
      <c r="C297" s="59"/>
      <c r="D297" s="20" t="s">
        <v>136</v>
      </c>
      <c r="E297" s="20"/>
      <c r="F297" s="21">
        <v>328.7</v>
      </c>
      <c r="G297" s="21">
        <v>328.7</v>
      </c>
      <c r="H297" s="21">
        <v>0</v>
      </c>
      <c r="I297" s="21">
        <v>0</v>
      </c>
      <c r="J297" s="20"/>
      <c r="K297" s="22"/>
      <c r="L297" s="22"/>
      <c r="M297" s="22"/>
      <c r="N297" s="44"/>
    </row>
    <row r="298" spans="1:14" ht="15.75" thickBot="1" x14ac:dyDescent="0.3">
      <c r="A298" s="57"/>
      <c r="B298" s="60"/>
      <c r="C298" s="60"/>
      <c r="D298" s="20" t="s">
        <v>121</v>
      </c>
      <c r="E298" s="20"/>
      <c r="F298" s="21">
        <v>57.7</v>
      </c>
      <c r="G298" s="21">
        <v>57.7</v>
      </c>
      <c r="H298" s="21">
        <v>0</v>
      </c>
      <c r="I298" s="21">
        <v>0</v>
      </c>
      <c r="J298" s="20"/>
      <c r="K298" s="22"/>
      <c r="L298" s="22"/>
      <c r="M298" s="22"/>
      <c r="N298" s="44"/>
    </row>
    <row r="299" spans="1:14" x14ac:dyDescent="0.25">
      <c r="A299" s="55" t="s">
        <v>489</v>
      </c>
      <c r="B299" s="58" t="s">
        <v>490</v>
      </c>
      <c r="C299" s="58" t="s">
        <v>442</v>
      </c>
      <c r="D299" s="17"/>
      <c r="E299" s="17"/>
      <c r="F299" s="18">
        <f>SUM(F300:F301)</f>
        <v>58.9</v>
      </c>
      <c r="G299" s="18">
        <f>SUM(G300:G301)</f>
        <v>91.6</v>
      </c>
      <c r="H299" s="18">
        <f>SUM(H300:H301)</f>
        <v>60</v>
      </c>
      <c r="I299" s="18">
        <f>SUM(I300:I301)</f>
        <v>60</v>
      </c>
      <c r="J299" s="17" t="s">
        <v>453</v>
      </c>
      <c r="K299" s="19" t="s">
        <v>20</v>
      </c>
      <c r="L299" s="19">
        <v>100</v>
      </c>
      <c r="M299" s="19">
        <v>100</v>
      </c>
      <c r="N299" s="43">
        <v>100</v>
      </c>
    </row>
    <row r="300" spans="1:14" x14ac:dyDescent="0.25">
      <c r="A300" s="56"/>
      <c r="B300" s="59"/>
      <c r="C300" s="59"/>
      <c r="D300" s="20" t="s">
        <v>491</v>
      </c>
      <c r="E300" s="20"/>
      <c r="F300" s="21">
        <v>58.9</v>
      </c>
      <c r="G300" s="21">
        <v>73.599999999999994</v>
      </c>
      <c r="H300" s="21">
        <v>60</v>
      </c>
      <c r="I300" s="21">
        <v>60</v>
      </c>
      <c r="J300" s="20"/>
      <c r="K300" s="22"/>
      <c r="L300" s="22"/>
      <c r="M300" s="22"/>
      <c r="N300" s="44"/>
    </row>
    <row r="301" spans="1:14" ht="15.75" thickBot="1" x14ac:dyDescent="0.3">
      <c r="A301" s="57"/>
      <c r="B301" s="60"/>
      <c r="C301" s="60"/>
      <c r="D301" s="20" t="s">
        <v>121</v>
      </c>
      <c r="E301" s="20"/>
      <c r="F301" s="21">
        <v>0</v>
      </c>
      <c r="G301" s="21">
        <v>18</v>
      </c>
      <c r="H301" s="21">
        <v>0</v>
      </c>
      <c r="I301" s="21">
        <v>0</v>
      </c>
      <c r="J301" s="20"/>
      <c r="K301" s="22"/>
      <c r="L301" s="22"/>
      <c r="M301" s="22"/>
      <c r="N301" s="44"/>
    </row>
    <row r="302" spans="1:14" ht="30.75" thickBot="1" x14ac:dyDescent="0.3">
      <c r="A302" s="23" t="s">
        <v>492</v>
      </c>
      <c r="B302" s="24" t="s">
        <v>493</v>
      </c>
      <c r="C302" s="17" t="s">
        <v>442</v>
      </c>
      <c r="D302" s="17" t="s">
        <v>30</v>
      </c>
      <c r="E302" s="17"/>
      <c r="F302" s="25">
        <v>10</v>
      </c>
      <c r="G302" s="25">
        <v>10</v>
      </c>
      <c r="H302" s="25">
        <v>14</v>
      </c>
      <c r="I302" s="25">
        <v>14</v>
      </c>
      <c r="J302" s="17" t="s">
        <v>494</v>
      </c>
      <c r="K302" s="19" t="s">
        <v>255</v>
      </c>
      <c r="L302" s="19">
        <v>20</v>
      </c>
      <c r="M302" s="19">
        <v>28</v>
      </c>
      <c r="N302" s="43">
        <v>28</v>
      </c>
    </row>
    <row r="303" spans="1:14" ht="26.25" customHeight="1" thickBot="1" x14ac:dyDescent="0.3">
      <c r="A303" s="8" t="s">
        <v>495</v>
      </c>
      <c r="B303" s="9" t="s">
        <v>496</v>
      </c>
      <c r="C303" s="87" t="s">
        <v>497</v>
      </c>
      <c r="D303" s="88"/>
      <c r="E303" s="89"/>
      <c r="F303" s="10">
        <f>SUM(F304:F304)</f>
        <v>11474.300000000001</v>
      </c>
      <c r="G303" s="10">
        <f>SUM(G304:G304)</f>
        <v>10117.299999999999</v>
      </c>
      <c r="H303" s="10">
        <f>SUM(H304:H304)</f>
        <v>20036.400000000001</v>
      </c>
      <c r="I303" s="10">
        <f>SUM(I304:I304)</f>
        <v>22480.700000000004</v>
      </c>
      <c r="J303" s="90"/>
      <c r="K303" s="91"/>
      <c r="L303" s="91"/>
      <c r="M303" s="91"/>
      <c r="N303" s="92"/>
    </row>
    <row r="304" spans="1:14" x14ac:dyDescent="0.25">
      <c r="A304" s="64" t="s">
        <v>498</v>
      </c>
      <c r="B304" s="66" t="s">
        <v>499</v>
      </c>
      <c r="C304" s="67"/>
      <c r="D304" s="67"/>
      <c r="E304" s="68"/>
      <c r="F304" s="12">
        <f>F305+F306+F337+F357</f>
        <v>11474.300000000001</v>
      </c>
      <c r="G304" s="12">
        <f>G305+G306+G337+G357</f>
        <v>10117.299999999999</v>
      </c>
      <c r="H304" s="12">
        <f>H305+H306+H337+H357</f>
        <v>20036.400000000001</v>
      </c>
      <c r="I304" s="12">
        <f>I305+I306+I337+I357</f>
        <v>22480.700000000004</v>
      </c>
      <c r="J304" s="13" t="s">
        <v>500</v>
      </c>
      <c r="K304" s="14" t="s">
        <v>255</v>
      </c>
      <c r="L304" s="14">
        <v>67</v>
      </c>
      <c r="M304" s="14">
        <v>70</v>
      </c>
      <c r="N304" s="42">
        <v>70</v>
      </c>
    </row>
    <row r="305" spans="1:14" ht="15.75" thickBot="1" x14ac:dyDescent="0.3">
      <c r="A305" s="65"/>
      <c r="B305" s="69"/>
      <c r="C305" s="70"/>
      <c r="D305" s="70"/>
      <c r="E305" s="71"/>
      <c r="F305" s="26">
        <v>0</v>
      </c>
      <c r="G305" s="26">
        <v>0</v>
      </c>
      <c r="H305" s="26">
        <v>0</v>
      </c>
      <c r="I305" s="26">
        <v>0</v>
      </c>
      <c r="J305" s="27" t="s">
        <v>501</v>
      </c>
      <c r="K305" s="28" t="s">
        <v>255</v>
      </c>
      <c r="L305" s="28">
        <v>18</v>
      </c>
      <c r="M305" s="28">
        <v>18</v>
      </c>
      <c r="N305" s="45">
        <v>19</v>
      </c>
    </row>
    <row r="306" spans="1:14" ht="26.25" customHeight="1" thickBot="1" x14ac:dyDescent="0.3">
      <c r="A306" s="15" t="s">
        <v>502</v>
      </c>
      <c r="B306" s="72" t="s">
        <v>503</v>
      </c>
      <c r="C306" s="73"/>
      <c r="D306" s="73"/>
      <c r="E306" s="74"/>
      <c r="F306" s="16">
        <f>F307+F315+F320+F322+F325+F329+F336</f>
        <v>9319.4000000000015</v>
      </c>
      <c r="G306" s="16">
        <f>G307+G315+G320+G322+G325+G329+G336</f>
        <v>9142.1</v>
      </c>
      <c r="H306" s="16">
        <f>H307+H315+H320+H322+H325+H329+H336</f>
        <v>9225.8000000000011</v>
      </c>
      <c r="I306" s="16">
        <f>I307+I315+I320+I322+I325+I329+I336</f>
        <v>9359.3000000000011</v>
      </c>
      <c r="J306" s="61"/>
      <c r="K306" s="62"/>
      <c r="L306" s="62"/>
      <c r="M306" s="62"/>
      <c r="N306" s="63"/>
    </row>
    <row r="307" spans="1:14" ht="45" x14ac:dyDescent="0.25">
      <c r="A307" s="55" t="s">
        <v>504</v>
      </c>
      <c r="B307" s="58" t="s">
        <v>505</v>
      </c>
      <c r="C307" s="58" t="s">
        <v>497</v>
      </c>
      <c r="D307" s="17" t="s">
        <v>30</v>
      </c>
      <c r="E307" s="17" t="s">
        <v>148</v>
      </c>
      <c r="F307" s="18">
        <f>SUM(F308:F314)+133</f>
        <v>133</v>
      </c>
      <c r="G307" s="18">
        <f>SUM(G308:G314)+133</f>
        <v>133</v>
      </c>
      <c r="H307" s="18">
        <f>SUM(H308:H314)+146</f>
        <v>146</v>
      </c>
      <c r="I307" s="18">
        <f>SUM(I308:I314)+160</f>
        <v>160</v>
      </c>
      <c r="J307" s="17" t="s">
        <v>506</v>
      </c>
      <c r="K307" s="19" t="s">
        <v>255</v>
      </c>
      <c r="L307" s="19">
        <v>255</v>
      </c>
      <c r="M307" s="19">
        <v>260</v>
      </c>
      <c r="N307" s="43">
        <v>265</v>
      </c>
    </row>
    <row r="308" spans="1:14" ht="45" x14ac:dyDescent="0.25">
      <c r="A308" s="56"/>
      <c r="B308" s="59"/>
      <c r="C308" s="59"/>
      <c r="D308" s="20"/>
      <c r="E308" s="20"/>
      <c r="F308" s="21">
        <v>0</v>
      </c>
      <c r="G308" s="21">
        <v>0</v>
      </c>
      <c r="H308" s="21">
        <v>0</v>
      </c>
      <c r="I308" s="21">
        <v>0</v>
      </c>
      <c r="J308" s="20" t="s">
        <v>507</v>
      </c>
      <c r="K308" s="22" t="s">
        <v>255</v>
      </c>
      <c r="L308" s="22">
        <v>560</v>
      </c>
      <c r="M308" s="22">
        <v>565</v>
      </c>
      <c r="N308" s="44">
        <v>570</v>
      </c>
    </row>
    <row r="309" spans="1:14" ht="63.75" customHeight="1" x14ac:dyDescent="0.25">
      <c r="A309" s="56"/>
      <c r="B309" s="59"/>
      <c r="C309" s="59"/>
      <c r="D309" s="20"/>
      <c r="E309" s="20"/>
      <c r="F309" s="21">
        <v>0</v>
      </c>
      <c r="G309" s="21">
        <v>0</v>
      </c>
      <c r="H309" s="21">
        <v>0</v>
      </c>
      <c r="I309" s="21">
        <v>0</v>
      </c>
      <c r="J309" s="20" t="s">
        <v>508</v>
      </c>
      <c r="K309" s="22" t="s">
        <v>255</v>
      </c>
      <c r="L309" s="22">
        <v>36</v>
      </c>
      <c r="M309" s="22">
        <v>37</v>
      </c>
      <c r="N309" s="44">
        <v>38</v>
      </c>
    </row>
    <row r="310" spans="1:14" ht="45" x14ac:dyDescent="0.25">
      <c r="A310" s="56"/>
      <c r="B310" s="59"/>
      <c r="C310" s="59"/>
      <c r="D310" s="20"/>
      <c r="E310" s="20"/>
      <c r="F310" s="21">
        <v>0</v>
      </c>
      <c r="G310" s="21">
        <v>0</v>
      </c>
      <c r="H310" s="21">
        <v>0</v>
      </c>
      <c r="I310" s="21">
        <v>0</v>
      </c>
      <c r="J310" s="20" t="s">
        <v>509</v>
      </c>
      <c r="K310" s="22" t="s">
        <v>255</v>
      </c>
      <c r="L310" s="22">
        <v>24</v>
      </c>
      <c r="M310" s="22">
        <v>25</v>
      </c>
      <c r="N310" s="44">
        <v>26</v>
      </c>
    </row>
    <row r="311" spans="1:14" ht="30" x14ac:dyDescent="0.25">
      <c r="A311" s="56"/>
      <c r="B311" s="59"/>
      <c r="C311" s="59"/>
      <c r="D311" s="20"/>
      <c r="E311" s="20"/>
      <c r="F311" s="21">
        <v>0</v>
      </c>
      <c r="G311" s="21">
        <v>0</v>
      </c>
      <c r="H311" s="21">
        <v>0</v>
      </c>
      <c r="I311" s="21">
        <v>0</v>
      </c>
      <c r="J311" s="20" t="s">
        <v>510</v>
      </c>
      <c r="K311" s="22" t="s">
        <v>255</v>
      </c>
      <c r="L311" s="22">
        <v>30</v>
      </c>
      <c r="M311" s="22">
        <v>32</v>
      </c>
      <c r="N311" s="44">
        <v>33</v>
      </c>
    </row>
    <row r="312" spans="1:14" x14ac:dyDescent="0.25">
      <c r="A312" s="56"/>
      <c r="B312" s="59"/>
      <c r="C312" s="59"/>
      <c r="D312" s="20"/>
      <c r="E312" s="20"/>
      <c r="F312" s="21">
        <v>0</v>
      </c>
      <c r="G312" s="21">
        <v>0</v>
      </c>
      <c r="H312" s="21">
        <v>0</v>
      </c>
      <c r="I312" s="21">
        <v>0</v>
      </c>
      <c r="J312" s="20" t="s">
        <v>511</v>
      </c>
      <c r="K312" s="22" t="s">
        <v>255</v>
      </c>
      <c r="L312" s="22">
        <v>125</v>
      </c>
      <c r="M312" s="22">
        <v>128</v>
      </c>
      <c r="N312" s="44">
        <v>131</v>
      </c>
    </row>
    <row r="313" spans="1:14" ht="30" x14ac:dyDescent="0.25">
      <c r="A313" s="56"/>
      <c r="B313" s="59"/>
      <c r="C313" s="59"/>
      <c r="D313" s="20"/>
      <c r="E313" s="20"/>
      <c r="F313" s="21">
        <v>0</v>
      </c>
      <c r="G313" s="21">
        <v>0</v>
      </c>
      <c r="H313" s="21">
        <v>0</v>
      </c>
      <c r="I313" s="21">
        <v>0</v>
      </c>
      <c r="J313" s="20" t="s">
        <v>512</v>
      </c>
      <c r="K313" s="22" t="s">
        <v>255</v>
      </c>
      <c r="L313" s="22">
        <v>193</v>
      </c>
      <c r="M313" s="22">
        <v>195</v>
      </c>
      <c r="N313" s="44">
        <v>198</v>
      </c>
    </row>
    <row r="314" spans="1:14" ht="15.75" thickBot="1" x14ac:dyDescent="0.3">
      <c r="A314" s="57"/>
      <c r="B314" s="60"/>
      <c r="C314" s="60"/>
      <c r="D314" s="20"/>
      <c r="E314" s="20"/>
      <c r="F314" s="21">
        <v>0</v>
      </c>
      <c r="G314" s="21">
        <v>0</v>
      </c>
      <c r="H314" s="21">
        <v>0</v>
      </c>
      <c r="I314" s="21">
        <v>0</v>
      </c>
      <c r="J314" s="20" t="s">
        <v>513</v>
      </c>
      <c r="K314" s="22" t="s">
        <v>255</v>
      </c>
      <c r="L314" s="22">
        <v>175</v>
      </c>
      <c r="M314" s="22">
        <v>177</v>
      </c>
      <c r="N314" s="44">
        <v>179</v>
      </c>
    </row>
    <row r="315" spans="1:14" x14ac:dyDescent="0.25">
      <c r="A315" s="55" t="s">
        <v>514</v>
      </c>
      <c r="B315" s="58" t="s">
        <v>515</v>
      </c>
      <c r="C315" s="58" t="s">
        <v>497</v>
      </c>
      <c r="D315" s="17" t="s">
        <v>30</v>
      </c>
      <c r="E315" s="17" t="s">
        <v>148</v>
      </c>
      <c r="F315" s="18">
        <f>SUM(F316:F319)+299.9</f>
        <v>299.89999999999998</v>
      </c>
      <c r="G315" s="18">
        <f>SUM(G316:G319)+299.9</f>
        <v>299.89999999999998</v>
      </c>
      <c r="H315" s="18">
        <f>SUM(H316:H319)+329.9</f>
        <v>329.9</v>
      </c>
      <c r="I315" s="18">
        <f>SUM(I316:I319)+360</f>
        <v>360</v>
      </c>
      <c r="J315" s="17" t="s">
        <v>516</v>
      </c>
      <c r="K315" s="19" t="s">
        <v>255</v>
      </c>
      <c r="L315" s="19">
        <v>14</v>
      </c>
      <c r="M315" s="19">
        <v>14</v>
      </c>
      <c r="N315" s="43">
        <v>14</v>
      </c>
    </row>
    <row r="316" spans="1:14" x14ac:dyDescent="0.25">
      <c r="A316" s="56"/>
      <c r="B316" s="59"/>
      <c r="C316" s="59"/>
      <c r="D316" s="20"/>
      <c r="E316" s="20"/>
      <c r="F316" s="21">
        <v>0</v>
      </c>
      <c r="G316" s="21">
        <v>0</v>
      </c>
      <c r="H316" s="21">
        <v>0</v>
      </c>
      <c r="I316" s="21">
        <v>0</v>
      </c>
      <c r="J316" s="20" t="s">
        <v>517</v>
      </c>
      <c r="K316" s="22" t="s">
        <v>255</v>
      </c>
      <c r="L316" s="22">
        <v>8</v>
      </c>
      <c r="M316" s="22">
        <v>9</v>
      </c>
      <c r="N316" s="44">
        <v>10</v>
      </c>
    </row>
    <row r="317" spans="1:14" x14ac:dyDescent="0.25">
      <c r="A317" s="56"/>
      <c r="B317" s="59"/>
      <c r="C317" s="59"/>
      <c r="D317" s="20"/>
      <c r="E317" s="20"/>
      <c r="F317" s="21">
        <v>0</v>
      </c>
      <c r="G317" s="21">
        <v>0</v>
      </c>
      <c r="H317" s="21">
        <v>0</v>
      </c>
      <c r="I317" s="21">
        <v>0</v>
      </c>
      <c r="J317" s="20" t="s">
        <v>518</v>
      </c>
      <c r="K317" s="22" t="s">
        <v>255</v>
      </c>
      <c r="L317" s="22">
        <v>10</v>
      </c>
      <c r="M317" s="22">
        <v>10</v>
      </c>
      <c r="N317" s="44">
        <v>10</v>
      </c>
    </row>
    <row r="318" spans="1:14" x14ac:dyDescent="0.25">
      <c r="A318" s="56"/>
      <c r="B318" s="59"/>
      <c r="C318" s="59"/>
      <c r="D318" s="20"/>
      <c r="E318" s="20"/>
      <c r="F318" s="21">
        <v>0</v>
      </c>
      <c r="G318" s="21">
        <v>0</v>
      </c>
      <c r="H318" s="21">
        <v>0</v>
      </c>
      <c r="I318" s="21">
        <v>0</v>
      </c>
      <c r="J318" s="20" t="s">
        <v>519</v>
      </c>
      <c r="K318" s="22" t="s">
        <v>255</v>
      </c>
      <c r="L318" s="22">
        <v>7</v>
      </c>
      <c r="M318" s="22">
        <v>7</v>
      </c>
      <c r="N318" s="44">
        <v>7</v>
      </c>
    </row>
    <row r="319" spans="1:14" ht="15.75" thickBot="1" x14ac:dyDescent="0.3">
      <c r="A319" s="57"/>
      <c r="B319" s="60"/>
      <c r="C319" s="60"/>
      <c r="D319" s="20"/>
      <c r="E319" s="20"/>
      <c r="F319" s="21">
        <v>0</v>
      </c>
      <c r="G319" s="21">
        <v>0</v>
      </c>
      <c r="H319" s="21">
        <v>0</v>
      </c>
      <c r="I319" s="21">
        <v>0</v>
      </c>
      <c r="J319" s="20" t="s">
        <v>520</v>
      </c>
      <c r="K319" s="22" t="s">
        <v>255</v>
      </c>
      <c r="L319" s="22">
        <v>88</v>
      </c>
      <c r="M319" s="22">
        <v>90</v>
      </c>
      <c r="N319" s="44">
        <v>93</v>
      </c>
    </row>
    <row r="320" spans="1:14" x14ac:dyDescent="0.25">
      <c r="A320" s="55" t="s">
        <v>521</v>
      </c>
      <c r="B320" s="58" t="s">
        <v>522</v>
      </c>
      <c r="C320" s="58" t="s">
        <v>523</v>
      </c>
      <c r="D320" s="17"/>
      <c r="E320" s="17" t="s">
        <v>148</v>
      </c>
      <c r="F320" s="18">
        <f>SUM(F321:F321)</f>
        <v>826.7</v>
      </c>
      <c r="G320" s="18">
        <f>SUM(G321:G321)</f>
        <v>786.7</v>
      </c>
      <c r="H320" s="18">
        <f>SUM(H321:H321)</f>
        <v>832.4</v>
      </c>
      <c r="I320" s="18">
        <f>SUM(I321:I321)</f>
        <v>915.6</v>
      </c>
      <c r="J320" s="17" t="s">
        <v>524</v>
      </c>
      <c r="K320" s="19" t="s">
        <v>255</v>
      </c>
      <c r="L320" s="19">
        <v>8</v>
      </c>
      <c r="M320" s="19">
        <v>8</v>
      </c>
      <c r="N320" s="43">
        <v>8</v>
      </c>
    </row>
    <row r="321" spans="1:14" ht="15.75" thickBot="1" x14ac:dyDescent="0.3">
      <c r="A321" s="57"/>
      <c r="B321" s="60"/>
      <c r="C321" s="60"/>
      <c r="D321" s="20" t="s">
        <v>30</v>
      </c>
      <c r="E321" s="20"/>
      <c r="F321" s="21">
        <v>826.7</v>
      </c>
      <c r="G321" s="21">
        <v>786.7</v>
      </c>
      <c r="H321" s="21">
        <v>832.4</v>
      </c>
      <c r="I321" s="21">
        <v>915.6</v>
      </c>
      <c r="J321" s="20" t="s">
        <v>525</v>
      </c>
      <c r="K321" s="22" t="s">
        <v>255</v>
      </c>
      <c r="L321" s="46">
        <v>2650</v>
      </c>
      <c r="M321" s="46">
        <v>2750</v>
      </c>
      <c r="N321" s="47">
        <v>2800</v>
      </c>
    </row>
    <row r="322" spans="1:14" x14ac:dyDescent="0.25">
      <c r="A322" s="55" t="s">
        <v>526</v>
      </c>
      <c r="B322" s="58" t="s">
        <v>527</v>
      </c>
      <c r="C322" s="58" t="s">
        <v>497</v>
      </c>
      <c r="D322" s="17" t="s">
        <v>30</v>
      </c>
      <c r="E322" s="17"/>
      <c r="F322" s="18">
        <f>SUM(F323:F324)+53</f>
        <v>53</v>
      </c>
      <c r="G322" s="18">
        <f>SUM(G323:G324)+53</f>
        <v>53</v>
      </c>
      <c r="H322" s="18">
        <f>SUM(H323:H324)+53</f>
        <v>53</v>
      </c>
      <c r="I322" s="18">
        <f>SUM(I323:I324)+53</f>
        <v>53</v>
      </c>
      <c r="J322" s="17" t="s">
        <v>528</v>
      </c>
      <c r="K322" s="19" t="s">
        <v>255</v>
      </c>
      <c r="L322" s="19">
        <v>20</v>
      </c>
      <c r="M322" s="19">
        <v>23</v>
      </c>
      <c r="N322" s="43">
        <v>25</v>
      </c>
    </row>
    <row r="323" spans="1:14" x14ac:dyDescent="0.25">
      <c r="A323" s="56"/>
      <c r="B323" s="59"/>
      <c r="C323" s="59"/>
      <c r="D323" s="20"/>
      <c r="E323" s="20"/>
      <c r="F323" s="21">
        <v>0</v>
      </c>
      <c r="G323" s="21">
        <v>0</v>
      </c>
      <c r="H323" s="21">
        <v>0</v>
      </c>
      <c r="I323" s="21">
        <v>0</v>
      </c>
      <c r="J323" s="20" t="s">
        <v>529</v>
      </c>
      <c r="K323" s="22" t="s">
        <v>255</v>
      </c>
      <c r="L323" s="22">
        <v>10</v>
      </c>
      <c r="M323" s="22">
        <v>10</v>
      </c>
      <c r="N323" s="44">
        <v>10</v>
      </c>
    </row>
    <row r="324" spans="1:14" ht="30.75" thickBot="1" x14ac:dyDescent="0.3">
      <c r="A324" s="57"/>
      <c r="B324" s="60"/>
      <c r="C324" s="60"/>
      <c r="D324" s="20"/>
      <c r="E324" s="20"/>
      <c r="F324" s="21">
        <v>0</v>
      </c>
      <c r="G324" s="21">
        <v>0</v>
      </c>
      <c r="H324" s="21">
        <v>0</v>
      </c>
      <c r="I324" s="21">
        <v>0</v>
      </c>
      <c r="J324" s="20" t="s">
        <v>530</v>
      </c>
      <c r="K324" s="22" t="s">
        <v>255</v>
      </c>
      <c r="L324" s="22">
        <v>12</v>
      </c>
      <c r="M324" s="22">
        <v>13</v>
      </c>
      <c r="N324" s="44">
        <v>14</v>
      </c>
    </row>
    <row r="325" spans="1:14" ht="30" x14ac:dyDescent="0.25">
      <c r="A325" s="55" t="s">
        <v>531</v>
      </c>
      <c r="B325" s="58" t="s">
        <v>532</v>
      </c>
      <c r="C325" s="58" t="s">
        <v>533</v>
      </c>
      <c r="D325" s="17" t="s">
        <v>30</v>
      </c>
      <c r="E325" s="17"/>
      <c r="F325" s="18">
        <f>SUM(F326:F328)+2053.8</f>
        <v>2053.8000000000002</v>
      </c>
      <c r="G325" s="18">
        <f>SUM(G326:G328)+2203.8</f>
        <v>2203.8000000000002</v>
      </c>
      <c r="H325" s="18">
        <f>SUM(H326:H328)+2053.8</f>
        <v>2053.8000000000002</v>
      </c>
      <c r="I325" s="18">
        <f>SUM(I326:I328)+2053.8</f>
        <v>2053.8000000000002</v>
      </c>
      <c r="J325" s="17" t="s">
        <v>534</v>
      </c>
      <c r="K325" s="19" t="s">
        <v>255</v>
      </c>
      <c r="L325" s="19">
        <v>3</v>
      </c>
      <c r="M325" s="19">
        <v>3</v>
      </c>
      <c r="N325" s="43">
        <v>3</v>
      </c>
    </row>
    <row r="326" spans="1:14" x14ac:dyDescent="0.25">
      <c r="A326" s="56"/>
      <c r="B326" s="59"/>
      <c r="C326" s="59"/>
      <c r="D326" s="20"/>
      <c r="E326" s="20"/>
      <c r="F326" s="21">
        <v>0</v>
      </c>
      <c r="G326" s="21">
        <v>0</v>
      </c>
      <c r="H326" s="21">
        <v>0</v>
      </c>
      <c r="I326" s="21">
        <v>0</v>
      </c>
      <c r="J326" s="20" t="s">
        <v>535</v>
      </c>
      <c r="K326" s="22" t="s">
        <v>255</v>
      </c>
      <c r="L326" s="22">
        <v>660</v>
      </c>
      <c r="M326" s="22">
        <v>660</v>
      </c>
      <c r="N326" s="44">
        <v>660</v>
      </c>
    </row>
    <row r="327" spans="1:14" x14ac:dyDescent="0.25">
      <c r="A327" s="56"/>
      <c r="B327" s="59"/>
      <c r="C327" s="59"/>
      <c r="D327" s="20"/>
      <c r="E327" s="20"/>
      <c r="F327" s="21">
        <v>0</v>
      </c>
      <c r="G327" s="21">
        <v>0</v>
      </c>
      <c r="H327" s="21">
        <v>0</v>
      </c>
      <c r="I327" s="21">
        <v>0</v>
      </c>
      <c r="J327" s="20" t="s">
        <v>536</v>
      </c>
      <c r="K327" s="22" t="s">
        <v>255</v>
      </c>
      <c r="L327" s="22">
        <v>1</v>
      </c>
      <c r="M327" s="22">
        <v>1</v>
      </c>
      <c r="N327" s="44">
        <v>1</v>
      </c>
    </row>
    <row r="328" spans="1:14" ht="15.75" thickBot="1" x14ac:dyDescent="0.3">
      <c r="A328" s="57"/>
      <c r="B328" s="60"/>
      <c r="C328" s="60"/>
      <c r="D328" s="20"/>
      <c r="E328" s="20"/>
      <c r="F328" s="21">
        <v>0</v>
      </c>
      <c r="G328" s="21">
        <v>0</v>
      </c>
      <c r="H328" s="21">
        <v>0</v>
      </c>
      <c r="I328" s="21">
        <v>0</v>
      </c>
      <c r="J328" s="20" t="s">
        <v>537</v>
      </c>
      <c r="K328" s="22" t="s">
        <v>255</v>
      </c>
      <c r="L328" s="22">
        <v>560</v>
      </c>
      <c r="M328" s="22">
        <v>560</v>
      </c>
      <c r="N328" s="44">
        <v>560</v>
      </c>
    </row>
    <row r="329" spans="1:14" x14ac:dyDescent="0.25">
      <c r="A329" s="55" t="s">
        <v>538</v>
      </c>
      <c r="B329" s="58" t="s">
        <v>539</v>
      </c>
      <c r="C329" s="58" t="s">
        <v>497</v>
      </c>
      <c r="D329" s="17"/>
      <c r="E329" s="17"/>
      <c r="F329" s="18">
        <f>SUM(F330:F335)</f>
        <v>5927.0000000000009</v>
      </c>
      <c r="G329" s="18">
        <f>SUM(G330:G335)</f>
        <v>5632.7</v>
      </c>
      <c r="H329" s="18">
        <f>SUM(H330:H335)</f>
        <v>5784.7000000000007</v>
      </c>
      <c r="I329" s="18">
        <f>SUM(I330:I335)</f>
        <v>5790.9000000000005</v>
      </c>
      <c r="J329" s="17" t="s">
        <v>540</v>
      </c>
      <c r="K329" s="19" t="s">
        <v>255</v>
      </c>
      <c r="L329" s="50">
        <v>2925</v>
      </c>
      <c r="M329" s="50">
        <v>2950</v>
      </c>
      <c r="N329" s="51">
        <v>2975</v>
      </c>
    </row>
    <row r="330" spans="1:14" x14ac:dyDescent="0.25">
      <c r="A330" s="56"/>
      <c r="B330" s="59"/>
      <c r="C330" s="59"/>
      <c r="D330" s="20" t="s">
        <v>123</v>
      </c>
      <c r="E330" s="20"/>
      <c r="F330" s="21">
        <v>87.6</v>
      </c>
      <c r="G330" s="21">
        <v>139.19999999999999</v>
      </c>
      <c r="H330" s="21">
        <v>82.6</v>
      </c>
      <c r="I330" s="21">
        <v>84.5</v>
      </c>
      <c r="J330" s="20" t="s">
        <v>511</v>
      </c>
      <c r="K330" s="22" t="s">
        <v>255</v>
      </c>
      <c r="L330" s="22">
        <v>47</v>
      </c>
      <c r="M330" s="22">
        <v>49</v>
      </c>
      <c r="N330" s="44">
        <v>51</v>
      </c>
    </row>
    <row r="331" spans="1:14" ht="30" x14ac:dyDescent="0.25">
      <c r="A331" s="56"/>
      <c r="B331" s="59"/>
      <c r="C331" s="59"/>
      <c r="D331" s="20" t="s">
        <v>125</v>
      </c>
      <c r="E331" s="20"/>
      <c r="F331" s="21">
        <v>49</v>
      </c>
      <c r="G331" s="21">
        <v>237.5</v>
      </c>
      <c r="H331" s="21">
        <v>54</v>
      </c>
      <c r="I331" s="21">
        <v>57</v>
      </c>
      <c r="J331" s="20" t="s">
        <v>512</v>
      </c>
      <c r="K331" s="22" t="s">
        <v>255</v>
      </c>
      <c r="L331" s="22">
        <v>163</v>
      </c>
      <c r="M331" s="22">
        <v>165</v>
      </c>
      <c r="N331" s="44">
        <v>167</v>
      </c>
    </row>
    <row r="332" spans="1:14" x14ac:dyDescent="0.25">
      <c r="A332" s="56"/>
      <c r="B332" s="59"/>
      <c r="C332" s="59"/>
      <c r="D332" s="20" t="s">
        <v>35</v>
      </c>
      <c r="E332" s="20"/>
      <c r="F332" s="21">
        <v>101.5</v>
      </c>
      <c r="G332" s="21">
        <v>101.5</v>
      </c>
      <c r="H332" s="21"/>
      <c r="I332" s="21"/>
      <c r="J332" s="20"/>
      <c r="K332" s="22"/>
      <c r="L332" s="22"/>
      <c r="M332" s="22"/>
      <c r="N332" s="44"/>
    </row>
    <row r="333" spans="1:14" x14ac:dyDescent="0.25">
      <c r="A333" s="56"/>
      <c r="B333" s="59"/>
      <c r="C333" s="59"/>
      <c r="D333" s="20" t="s">
        <v>30</v>
      </c>
      <c r="E333" s="20"/>
      <c r="F333" s="21">
        <v>5107.3</v>
      </c>
      <c r="G333" s="21">
        <v>4506.8999999999996</v>
      </c>
      <c r="H333" s="21">
        <v>5107.3</v>
      </c>
      <c r="I333" s="21">
        <v>5107.3</v>
      </c>
      <c r="J333" s="20"/>
      <c r="K333" s="22"/>
      <c r="L333" s="22"/>
      <c r="M333" s="22"/>
      <c r="N333" s="44"/>
    </row>
    <row r="334" spans="1:14" x14ac:dyDescent="0.25">
      <c r="A334" s="56"/>
      <c r="B334" s="59"/>
      <c r="C334" s="59"/>
      <c r="D334" s="20" t="s">
        <v>128</v>
      </c>
      <c r="E334" s="20"/>
      <c r="F334" s="21">
        <v>513.5</v>
      </c>
      <c r="G334" s="21">
        <v>579.5</v>
      </c>
      <c r="H334" s="21">
        <v>517.70000000000005</v>
      </c>
      <c r="I334" s="21">
        <v>519</v>
      </c>
      <c r="J334" s="20"/>
      <c r="K334" s="22"/>
      <c r="L334" s="22"/>
      <c r="M334" s="22"/>
      <c r="N334" s="44"/>
    </row>
    <row r="335" spans="1:14" ht="15.75" thickBot="1" x14ac:dyDescent="0.3">
      <c r="A335" s="57"/>
      <c r="B335" s="60"/>
      <c r="C335" s="60"/>
      <c r="D335" s="20" t="s">
        <v>119</v>
      </c>
      <c r="E335" s="20"/>
      <c r="F335" s="21">
        <v>68.099999999999994</v>
      </c>
      <c r="G335" s="21">
        <v>68.099999999999994</v>
      </c>
      <c r="H335" s="21">
        <v>23.1</v>
      </c>
      <c r="I335" s="21">
        <v>23.1</v>
      </c>
      <c r="J335" s="20"/>
      <c r="K335" s="22"/>
      <c r="L335" s="22"/>
      <c r="M335" s="22"/>
      <c r="N335" s="44"/>
    </row>
    <row r="336" spans="1:14" ht="60.75" thickBot="1" x14ac:dyDescent="0.3">
      <c r="A336" s="23" t="s">
        <v>541</v>
      </c>
      <c r="B336" s="24" t="s">
        <v>542</v>
      </c>
      <c r="C336" s="17" t="s">
        <v>497</v>
      </c>
      <c r="D336" s="17" t="s">
        <v>30</v>
      </c>
      <c r="E336" s="17"/>
      <c r="F336" s="25">
        <v>26</v>
      </c>
      <c r="G336" s="25">
        <v>33</v>
      </c>
      <c r="H336" s="25">
        <v>26</v>
      </c>
      <c r="I336" s="25">
        <v>26</v>
      </c>
      <c r="J336" s="17" t="s">
        <v>543</v>
      </c>
      <c r="K336" s="19" t="s">
        <v>255</v>
      </c>
      <c r="L336" s="19">
        <v>270</v>
      </c>
      <c r="M336" s="19">
        <v>270</v>
      </c>
      <c r="N336" s="43">
        <v>270</v>
      </c>
    </row>
    <row r="337" spans="1:14" ht="26.25" customHeight="1" thickBot="1" x14ac:dyDescent="0.3">
      <c r="A337" s="15" t="s">
        <v>544</v>
      </c>
      <c r="B337" s="72" t="s">
        <v>545</v>
      </c>
      <c r="C337" s="73"/>
      <c r="D337" s="73"/>
      <c r="E337" s="74"/>
      <c r="F337" s="16">
        <f>F338+F342+F345+F347+F351+F352+F354</f>
        <v>2026.5</v>
      </c>
      <c r="G337" s="16">
        <f>G338+G342+G345+G347+G351+G352+G354</f>
        <v>846.80000000000007</v>
      </c>
      <c r="H337" s="16">
        <f>H338+H342+H345+H347+H351+H352+H354</f>
        <v>10712.2</v>
      </c>
      <c r="I337" s="16">
        <f>I338+I342+I345+I347+I351+I352+I354</f>
        <v>13023</v>
      </c>
      <c r="J337" s="61"/>
      <c r="K337" s="62"/>
      <c r="L337" s="62"/>
      <c r="M337" s="62"/>
      <c r="N337" s="63"/>
    </row>
    <row r="338" spans="1:14" ht="45" customHeight="1" x14ac:dyDescent="0.25">
      <c r="A338" s="55" t="s">
        <v>546</v>
      </c>
      <c r="B338" s="58" t="s">
        <v>547</v>
      </c>
      <c r="C338" s="58" t="s">
        <v>548</v>
      </c>
      <c r="D338" s="17"/>
      <c r="E338" s="17" t="s">
        <v>549</v>
      </c>
      <c r="F338" s="18">
        <f>SUM(F339:F341)</f>
        <v>1860.2</v>
      </c>
      <c r="G338" s="18">
        <f>SUM(G339:G341)</f>
        <v>583.5</v>
      </c>
      <c r="H338" s="18">
        <f>SUM(H339:H341)</f>
        <v>8239.2000000000007</v>
      </c>
      <c r="I338" s="18">
        <f>SUM(I339:I341)</f>
        <v>11750</v>
      </c>
      <c r="J338" s="17" t="s">
        <v>550</v>
      </c>
      <c r="K338" s="19" t="s">
        <v>20</v>
      </c>
      <c r="L338" s="19">
        <v>10</v>
      </c>
      <c r="M338" s="19">
        <v>55</v>
      </c>
      <c r="N338" s="43">
        <v>100</v>
      </c>
    </row>
    <row r="339" spans="1:14" x14ac:dyDescent="0.25">
      <c r="A339" s="56"/>
      <c r="B339" s="59"/>
      <c r="C339" s="59"/>
      <c r="D339" s="20" t="s">
        <v>551</v>
      </c>
      <c r="E339" s="20"/>
      <c r="F339" s="21">
        <v>1860.2</v>
      </c>
      <c r="G339" s="21">
        <v>580</v>
      </c>
      <c r="H339" s="21">
        <v>1280.2</v>
      </c>
      <c r="I339" s="21">
        <v>0</v>
      </c>
      <c r="J339" s="20" t="s">
        <v>552</v>
      </c>
      <c r="K339" s="22" t="s">
        <v>20</v>
      </c>
      <c r="L339" s="22"/>
      <c r="M339" s="22"/>
      <c r="N339" s="44">
        <v>100</v>
      </c>
    </row>
    <row r="340" spans="1:14" x14ac:dyDescent="0.25">
      <c r="A340" s="56"/>
      <c r="B340" s="59"/>
      <c r="C340" s="59"/>
      <c r="D340" s="20" t="s">
        <v>30</v>
      </c>
      <c r="E340" s="20"/>
      <c r="F340" s="21"/>
      <c r="G340" s="21">
        <v>3.5</v>
      </c>
      <c r="H340" s="21">
        <v>1959</v>
      </c>
      <c r="I340" s="21">
        <v>6750</v>
      </c>
      <c r="J340" s="20"/>
      <c r="K340" s="22"/>
      <c r="L340" s="22"/>
      <c r="M340" s="22"/>
      <c r="N340" s="44"/>
    </row>
    <row r="341" spans="1:14" ht="15.75" thickBot="1" x14ac:dyDescent="0.3">
      <c r="A341" s="57"/>
      <c r="B341" s="60"/>
      <c r="C341" s="60"/>
      <c r="D341" s="20" t="s">
        <v>136</v>
      </c>
      <c r="E341" s="20"/>
      <c r="F341" s="21"/>
      <c r="G341" s="21"/>
      <c r="H341" s="21">
        <v>5000</v>
      </c>
      <c r="I341" s="21">
        <v>5000</v>
      </c>
      <c r="J341" s="20"/>
      <c r="K341" s="22"/>
      <c r="L341" s="22"/>
      <c r="M341" s="22"/>
      <c r="N341" s="44"/>
    </row>
    <row r="342" spans="1:14" ht="45" x14ac:dyDescent="0.25">
      <c r="A342" s="55" t="s">
        <v>553</v>
      </c>
      <c r="B342" s="58" t="s">
        <v>554</v>
      </c>
      <c r="C342" s="58" t="s">
        <v>555</v>
      </c>
      <c r="D342" s="17"/>
      <c r="E342" s="17" t="s">
        <v>549</v>
      </c>
      <c r="F342" s="18">
        <f>SUM(F343:F344)</f>
        <v>0</v>
      </c>
      <c r="G342" s="18">
        <f>SUM(G343:G344)</f>
        <v>0</v>
      </c>
      <c r="H342" s="18">
        <f>SUM(H343:H344)</f>
        <v>1337</v>
      </c>
      <c r="I342" s="18">
        <f>SUM(I343:I344)</f>
        <v>573</v>
      </c>
      <c r="J342" s="17" t="s">
        <v>556</v>
      </c>
      <c r="K342" s="19" t="s">
        <v>20</v>
      </c>
      <c r="L342" s="19"/>
      <c r="M342" s="19">
        <v>50</v>
      </c>
      <c r="N342" s="43">
        <v>100</v>
      </c>
    </row>
    <row r="343" spans="1:14" x14ac:dyDescent="0.25">
      <c r="A343" s="56"/>
      <c r="B343" s="59"/>
      <c r="C343" s="59"/>
      <c r="D343" s="20" t="s">
        <v>125</v>
      </c>
      <c r="E343" s="20"/>
      <c r="F343" s="21">
        <v>0</v>
      </c>
      <c r="G343" s="21">
        <v>0</v>
      </c>
      <c r="H343" s="21">
        <v>1337</v>
      </c>
      <c r="I343" s="21">
        <v>0</v>
      </c>
      <c r="J343" s="20"/>
      <c r="K343" s="22"/>
      <c r="L343" s="22"/>
      <c r="M343" s="22"/>
      <c r="N343" s="44"/>
    </row>
    <row r="344" spans="1:14" ht="15.75" thickBot="1" x14ac:dyDescent="0.3">
      <c r="A344" s="57"/>
      <c r="B344" s="60"/>
      <c r="C344" s="60"/>
      <c r="D344" s="20" t="s">
        <v>30</v>
      </c>
      <c r="E344" s="20"/>
      <c r="F344" s="21">
        <v>0</v>
      </c>
      <c r="G344" s="21">
        <v>0</v>
      </c>
      <c r="H344" s="21">
        <v>0</v>
      </c>
      <c r="I344" s="21">
        <v>573</v>
      </c>
      <c r="J344" s="20"/>
      <c r="K344" s="22"/>
      <c r="L344" s="22"/>
      <c r="M344" s="22"/>
      <c r="N344" s="44"/>
    </row>
    <row r="345" spans="1:14" ht="63.75" customHeight="1" x14ac:dyDescent="0.25">
      <c r="A345" s="55" t="s">
        <v>557</v>
      </c>
      <c r="B345" s="58" t="s">
        <v>558</v>
      </c>
      <c r="C345" s="58" t="s">
        <v>559</v>
      </c>
      <c r="D345" s="17" t="s">
        <v>30</v>
      </c>
      <c r="E345" s="17" t="s">
        <v>549</v>
      </c>
      <c r="F345" s="18">
        <f>SUM(F346:F346)+30</f>
        <v>30</v>
      </c>
      <c r="G345" s="18">
        <f>SUM(G346:G346)</f>
        <v>0</v>
      </c>
      <c r="H345" s="18">
        <f>SUM(H346:H346)+495</f>
        <v>495</v>
      </c>
      <c r="I345" s="18">
        <f>SUM(I346:I346)</f>
        <v>0</v>
      </c>
      <c r="J345" s="17" t="s">
        <v>560</v>
      </c>
      <c r="K345" s="19" t="s">
        <v>24</v>
      </c>
      <c r="L345" s="19">
        <v>1</v>
      </c>
      <c r="M345" s="19"/>
      <c r="N345" s="43"/>
    </row>
    <row r="346" spans="1:14" ht="15.75" thickBot="1" x14ac:dyDescent="0.3">
      <c r="A346" s="57"/>
      <c r="B346" s="60"/>
      <c r="C346" s="60"/>
      <c r="D346" s="20"/>
      <c r="E346" s="20"/>
      <c r="F346" s="21">
        <v>0</v>
      </c>
      <c r="G346" s="21">
        <v>0</v>
      </c>
      <c r="H346" s="21">
        <v>0</v>
      </c>
      <c r="I346" s="21">
        <v>0</v>
      </c>
      <c r="J346" s="20" t="s">
        <v>550</v>
      </c>
      <c r="K346" s="22" t="s">
        <v>20</v>
      </c>
      <c r="L346" s="22"/>
      <c r="M346" s="22">
        <v>100</v>
      </c>
      <c r="N346" s="44"/>
    </row>
    <row r="347" spans="1:14" ht="30" x14ac:dyDescent="0.25">
      <c r="A347" s="55" t="s">
        <v>561</v>
      </c>
      <c r="B347" s="58" t="s">
        <v>562</v>
      </c>
      <c r="C347" s="58" t="s">
        <v>497</v>
      </c>
      <c r="D347" s="17"/>
      <c r="E347" s="17"/>
      <c r="F347" s="18">
        <f>SUM(F348:F350)</f>
        <v>76.3</v>
      </c>
      <c r="G347" s="18">
        <f>SUM(G348:G350)</f>
        <v>66.7</v>
      </c>
      <c r="H347" s="18">
        <f>SUM(H348:H350)</f>
        <v>300</v>
      </c>
      <c r="I347" s="18">
        <f>SUM(I348:I350)</f>
        <v>0</v>
      </c>
      <c r="J347" s="17" t="s">
        <v>563</v>
      </c>
      <c r="K347" s="19" t="s">
        <v>20</v>
      </c>
      <c r="L347" s="19">
        <v>100</v>
      </c>
      <c r="M347" s="19"/>
      <c r="N347" s="43"/>
    </row>
    <row r="348" spans="1:14" x14ac:dyDescent="0.25">
      <c r="A348" s="56"/>
      <c r="B348" s="59"/>
      <c r="C348" s="59"/>
      <c r="D348" s="20" t="s">
        <v>30</v>
      </c>
      <c r="E348" s="20"/>
      <c r="F348" s="21">
        <v>50</v>
      </c>
      <c r="G348" s="21">
        <v>40.4</v>
      </c>
      <c r="H348" s="21">
        <v>300</v>
      </c>
      <c r="I348" s="21">
        <v>0</v>
      </c>
      <c r="J348" s="20" t="s">
        <v>564</v>
      </c>
      <c r="K348" s="22" t="s">
        <v>20</v>
      </c>
      <c r="L348" s="22">
        <v>100</v>
      </c>
      <c r="M348" s="22"/>
      <c r="N348" s="44"/>
    </row>
    <row r="349" spans="1:14" x14ac:dyDescent="0.25">
      <c r="A349" s="56"/>
      <c r="B349" s="59"/>
      <c r="C349" s="59"/>
      <c r="D349" s="20" t="s">
        <v>35</v>
      </c>
      <c r="E349" s="20"/>
      <c r="F349" s="21">
        <v>26.3</v>
      </c>
      <c r="G349" s="21">
        <v>26.3</v>
      </c>
      <c r="H349" s="21">
        <v>0</v>
      </c>
      <c r="I349" s="21">
        <v>0</v>
      </c>
      <c r="J349" s="20" t="s">
        <v>565</v>
      </c>
      <c r="K349" s="22" t="s">
        <v>20</v>
      </c>
      <c r="L349" s="22"/>
      <c r="M349" s="22">
        <v>100</v>
      </c>
      <c r="N349" s="44"/>
    </row>
    <row r="350" spans="1:14" ht="15.75" thickBot="1" x14ac:dyDescent="0.3">
      <c r="A350" s="57"/>
      <c r="B350" s="60"/>
      <c r="C350" s="60"/>
      <c r="D350" s="20"/>
      <c r="E350" s="20"/>
      <c r="F350" s="21">
        <v>0</v>
      </c>
      <c r="G350" s="21">
        <v>0</v>
      </c>
      <c r="H350" s="21">
        <v>0</v>
      </c>
      <c r="I350" s="21">
        <v>0</v>
      </c>
      <c r="J350" s="20" t="s">
        <v>566</v>
      </c>
      <c r="K350" s="22" t="s">
        <v>20</v>
      </c>
      <c r="L350" s="22"/>
      <c r="M350" s="22">
        <v>100</v>
      </c>
      <c r="N350" s="44"/>
    </row>
    <row r="351" spans="1:14" ht="30.75" thickBot="1" x14ac:dyDescent="0.3">
      <c r="A351" s="23" t="s">
        <v>567</v>
      </c>
      <c r="B351" s="24" t="s">
        <v>568</v>
      </c>
      <c r="C351" s="17" t="s">
        <v>555</v>
      </c>
      <c r="D351" s="17" t="s">
        <v>30</v>
      </c>
      <c r="E351" s="17"/>
      <c r="F351" s="25">
        <v>60</v>
      </c>
      <c r="G351" s="25">
        <v>162.5</v>
      </c>
      <c r="H351" s="25">
        <v>0</v>
      </c>
      <c r="I351" s="25">
        <v>0</v>
      </c>
      <c r="J351" s="17" t="s">
        <v>569</v>
      </c>
      <c r="K351" s="19" t="s">
        <v>20</v>
      </c>
      <c r="L351" s="19">
        <v>100</v>
      </c>
      <c r="M351" s="19"/>
      <c r="N351" s="43"/>
    </row>
    <row r="352" spans="1:14" ht="25.5" customHeight="1" x14ac:dyDescent="0.25">
      <c r="A352" s="55" t="s">
        <v>570</v>
      </c>
      <c r="B352" s="58" t="s">
        <v>571</v>
      </c>
      <c r="C352" s="58" t="s">
        <v>1189</v>
      </c>
      <c r="D352" s="17" t="s">
        <v>30</v>
      </c>
      <c r="E352" s="17"/>
      <c r="F352" s="18">
        <f>SUM(F353:F353)</f>
        <v>0</v>
      </c>
      <c r="G352" s="18">
        <f>SUM(G353:G353)</f>
        <v>0</v>
      </c>
      <c r="H352" s="18">
        <f>SUM(H353:H353)+50</f>
        <v>50</v>
      </c>
      <c r="I352" s="18">
        <f>SUM(I353:I353)+700</f>
        <v>700</v>
      </c>
      <c r="J352" s="17" t="s">
        <v>560</v>
      </c>
      <c r="K352" s="19" t="s">
        <v>24</v>
      </c>
      <c r="L352" s="19"/>
      <c r="M352" s="19">
        <v>1</v>
      </c>
      <c r="N352" s="43"/>
    </row>
    <row r="353" spans="1:14" ht="15.75" thickBot="1" x14ac:dyDescent="0.3">
      <c r="A353" s="57"/>
      <c r="B353" s="60"/>
      <c r="C353" s="60"/>
      <c r="D353" s="20"/>
      <c r="E353" s="20"/>
      <c r="F353" s="21">
        <v>0</v>
      </c>
      <c r="G353" s="21">
        <v>0</v>
      </c>
      <c r="H353" s="21">
        <v>0</v>
      </c>
      <c r="I353" s="21">
        <v>0</v>
      </c>
      <c r="J353" s="20" t="s">
        <v>550</v>
      </c>
      <c r="K353" s="22" t="s">
        <v>20</v>
      </c>
      <c r="L353" s="22"/>
      <c r="M353" s="22"/>
      <c r="N353" s="44">
        <v>100</v>
      </c>
    </row>
    <row r="354" spans="1:14" x14ac:dyDescent="0.25">
      <c r="A354" s="55" t="s">
        <v>572</v>
      </c>
      <c r="B354" s="58" t="s">
        <v>573</v>
      </c>
      <c r="C354" s="58" t="s">
        <v>1190</v>
      </c>
      <c r="D354" s="17"/>
      <c r="E354" s="17"/>
      <c r="F354" s="18">
        <f>SUM(F355:F356)</f>
        <v>0</v>
      </c>
      <c r="G354" s="18">
        <f>SUM(G355:G356)</f>
        <v>34.1</v>
      </c>
      <c r="H354" s="18">
        <f>SUM(H355:H356)</f>
        <v>291</v>
      </c>
      <c r="I354" s="18">
        <f>SUM(I355:I356)</f>
        <v>0</v>
      </c>
      <c r="J354" s="17" t="s">
        <v>550</v>
      </c>
      <c r="K354" s="19" t="s">
        <v>20</v>
      </c>
      <c r="L354" s="19">
        <v>30</v>
      </c>
      <c r="M354" s="19">
        <v>100</v>
      </c>
      <c r="N354" s="43"/>
    </row>
    <row r="355" spans="1:14" x14ac:dyDescent="0.25">
      <c r="A355" s="56"/>
      <c r="B355" s="59"/>
      <c r="C355" s="59"/>
      <c r="D355" s="20" t="s">
        <v>125</v>
      </c>
      <c r="E355" s="20"/>
      <c r="F355" s="21">
        <v>0</v>
      </c>
      <c r="G355" s="21">
        <v>0</v>
      </c>
      <c r="H355" s="21">
        <v>77.099999999999994</v>
      </c>
      <c r="I355" s="21">
        <v>0</v>
      </c>
      <c r="J355" s="20"/>
      <c r="K355" s="22"/>
      <c r="L355" s="22"/>
      <c r="M355" s="22"/>
      <c r="N355" s="44"/>
    </row>
    <row r="356" spans="1:14" ht="15.75" thickBot="1" x14ac:dyDescent="0.3">
      <c r="A356" s="57"/>
      <c r="B356" s="60"/>
      <c r="C356" s="60"/>
      <c r="D356" s="20" t="s">
        <v>30</v>
      </c>
      <c r="E356" s="20"/>
      <c r="F356" s="21">
        <v>0</v>
      </c>
      <c r="G356" s="21">
        <v>34.1</v>
      </c>
      <c r="H356" s="21">
        <v>213.9</v>
      </c>
      <c r="I356" s="21">
        <v>0</v>
      </c>
      <c r="J356" s="20"/>
      <c r="K356" s="22"/>
      <c r="L356" s="22"/>
      <c r="M356" s="22"/>
      <c r="N356" s="44"/>
    </row>
    <row r="357" spans="1:14" ht="26.25" customHeight="1" thickBot="1" x14ac:dyDescent="0.3">
      <c r="A357" s="15" t="s">
        <v>574</v>
      </c>
      <c r="B357" s="72" t="s">
        <v>575</v>
      </c>
      <c r="C357" s="73"/>
      <c r="D357" s="73"/>
      <c r="E357" s="74"/>
      <c r="F357" s="16">
        <f>F358+F360</f>
        <v>128.4</v>
      </c>
      <c r="G357" s="16">
        <f>G358+G360</f>
        <v>128.4</v>
      </c>
      <c r="H357" s="16">
        <f>H358+H360</f>
        <v>98.4</v>
      </c>
      <c r="I357" s="16">
        <f>I358+I360</f>
        <v>98.4</v>
      </c>
      <c r="J357" s="61"/>
      <c r="K357" s="62"/>
      <c r="L357" s="62"/>
      <c r="M357" s="62"/>
      <c r="N357" s="63"/>
    </row>
    <row r="358" spans="1:14" ht="30" x14ac:dyDescent="0.25">
      <c r="A358" s="55" t="s">
        <v>576</v>
      </c>
      <c r="B358" s="58" t="s">
        <v>577</v>
      </c>
      <c r="C358" s="58" t="s">
        <v>497</v>
      </c>
      <c r="D358" s="17" t="s">
        <v>30</v>
      </c>
      <c r="E358" s="17"/>
      <c r="F358" s="18">
        <f>SUM(F359:F359)+60</f>
        <v>60</v>
      </c>
      <c r="G358" s="18">
        <f>SUM(G359:G359)+60</f>
        <v>60</v>
      </c>
      <c r="H358" s="18">
        <f>SUM(H359:H359)+30</f>
        <v>30</v>
      </c>
      <c r="I358" s="18">
        <f>SUM(I359:I359)+30</f>
        <v>30</v>
      </c>
      <c r="J358" s="17" t="s">
        <v>578</v>
      </c>
      <c r="K358" s="19" t="s">
        <v>20</v>
      </c>
      <c r="L358" s="19">
        <v>10</v>
      </c>
      <c r="M358" s="19">
        <v>11</v>
      </c>
      <c r="N358" s="43">
        <v>11</v>
      </c>
    </row>
    <row r="359" spans="1:14" ht="15.75" thickBot="1" x14ac:dyDescent="0.3">
      <c r="A359" s="57"/>
      <c r="B359" s="60"/>
      <c r="C359" s="60"/>
      <c r="D359" s="20"/>
      <c r="E359" s="20"/>
      <c r="F359" s="21">
        <v>0</v>
      </c>
      <c r="G359" s="21">
        <v>0</v>
      </c>
      <c r="H359" s="21">
        <v>0</v>
      </c>
      <c r="I359" s="21">
        <v>0</v>
      </c>
      <c r="J359" s="20" t="s">
        <v>579</v>
      </c>
      <c r="K359" s="22" t="s">
        <v>255</v>
      </c>
      <c r="L359" s="22">
        <v>6</v>
      </c>
      <c r="M359" s="22">
        <v>6</v>
      </c>
      <c r="N359" s="44">
        <v>6</v>
      </c>
    </row>
    <row r="360" spans="1:14" ht="55.5" customHeight="1" thickBot="1" x14ac:dyDescent="0.3">
      <c r="A360" s="23" t="s">
        <v>580</v>
      </c>
      <c r="B360" s="24" t="s">
        <v>581</v>
      </c>
      <c r="C360" s="17" t="s">
        <v>582</v>
      </c>
      <c r="D360" s="17" t="s">
        <v>30</v>
      </c>
      <c r="E360" s="17"/>
      <c r="F360" s="25">
        <v>68.400000000000006</v>
      </c>
      <c r="G360" s="25">
        <v>68.400000000000006</v>
      </c>
      <c r="H360" s="25">
        <v>68.400000000000006</v>
      </c>
      <c r="I360" s="25">
        <v>68.400000000000006</v>
      </c>
      <c r="J360" s="17" t="s">
        <v>583</v>
      </c>
      <c r="K360" s="19" t="s">
        <v>20</v>
      </c>
      <c r="L360" s="19">
        <v>18.2</v>
      </c>
      <c r="M360" s="19">
        <v>18.3</v>
      </c>
      <c r="N360" s="43">
        <v>18.399999999999999</v>
      </c>
    </row>
    <row r="361" spans="1:14" ht="30.75" thickBot="1" x14ac:dyDescent="0.3">
      <c r="A361" s="8" t="s">
        <v>584</v>
      </c>
      <c r="B361" s="9" t="s">
        <v>585</v>
      </c>
      <c r="C361" s="87" t="s">
        <v>586</v>
      </c>
      <c r="D361" s="88"/>
      <c r="E361" s="89"/>
      <c r="F361" s="10">
        <f>F362+F447</f>
        <v>111419.8</v>
      </c>
      <c r="G361" s="10">
        <f>G362+G447</f>
        <v>114882.80000000002</v>
      </c>
      <c r="H361" s="10">
        <f>H362+H447</f>
        <v>110423.8</v>
      </c>
      <c r="I361" s="10">
        <f>I362+I447</f>
        <v>109993.40000000001</v>
      </c>
      <c r="J361" s="90"/>
      <c r="K361" s="91"/>
      <c r="L361" s="91"/>
      <c r="M361" s="91"/>
      <c r="N361" s="92"/>
    </row>
    <row r="362" spans="1:14" ht="28.5" customHeight="1" x14ac:dyDescent="0.25">
      <c r="A362" s="64" t="s">
        <v>587</v>
      </c>
      <c r="B362" s="66" t="s">
        <v>588</v>
      </c>
      <c r="C362" s="67"/>
      <c r="D362" s="67"/>
      <c r="E362" s="68"/>
      <c r="F362" s="12">
        <f>F363+F364+F393</f>
        <v>100124.1</v>
      </c>
      <c r="G362" s="12">
        <f>G363+G364+G393</f>
        <v>103840.40000000002</v>
      </c>
      <c r="H362" s="12">
        <f>H363+H364+H393</f>
        <v>98599.3</v>
      </c>
      <c r="I362" s="12">
        <f>I363+I364+I393</f>
        <v>98244.900000000009</v>
      </c>
      <c r="J362" s="13" t="s">
        <v>589</v>
      </c>
      <c r="K362" s="14" t="s">
        <v>20</v>
      </c>
      <c r="L362" s="14">
        <v>100</v>
      </c>
      <c r="M362" s="14">
        <v>100</v>
      </c>
      <c r="N362" s="42">
        <v>100</v>
      </c>
    </row>
    <row r="363" spans="1:14" ht="15.75" thickBot="1" x14ac:dyDescent="0.3">
      <c r="A363" s="65"/>
      <c r="B363" s="69"/>
      <c r="C363" s="70"/>
      <c r="D363" s="70"/>
      <c r="E363" s="71"/>
      <c r="F363" s="26">
        <v>0</v>
      </c>
      <c r="G363" s="26">
        <v>0</v>
      </c>
      <c r="H363" s="26">
        <v>0</v>
      </c>
      <c r="I363" s="26">
        <v>0</v>
      </c>
      <c r="J363" s="27" t="s">
        <v>590</v>
      </c>
      <c r="K363" s="28" t="s">
        <v>255</v>
      </c>
      <c r="L363" s="52">
        <v>13500</v>
      </c>
      <c r="M363" s="52">
        <v>13800</v>
      </c>
      <c r="N363" s="53">
        <v>13800</v>
      </c>
    </row>
    <row r="364" spans="1:14" ht="26.25" customHeight="1" thickBot="1" x14ac:dyDescent="0.3">
      <c r="A364" s="15" t="s">
        <v>591</v>
      </c>
      <c r="B364" s="72" t="s">
        <v>592</v>
      </c>
      <c r="C364" s="73"/>
      <c r="D364" s="73"/>
      <c r="E364" s="74"/>
      <c r="F364" s="16">
        <f>F365+F372+F374+F380+F391+F392</f>
        <v>1023.3</v>
      </c>
      <c r="G364" s="16">
        <f>G365+G372+G374+G380+G391+G392</f>
        <v>909.19999999999993</v>
      </c>
      <c r="H364" s="16">
        <f>H365+H372+H374+H380+H391+H392</f>
        <v>903.3</v>
      </c>
      <c r="I364" s="16">
        <f>I365+I372+I374+I380+I391+I392</f>
        <v>998.09999999999991</v>
      </c>
      <c r="J364" s="61"/>
      <c r="K364" s="62"/>
      <c r="L364" s="62"/>
      <c r="M364" s="62"/>
      <c r="N364" s="63"/>
    </row>
    <row r="365" spans="1:14" x14ac:dyDescent="0.25">
      <c r="A365" s="55" t="s">
        <v>593</v>
      </c>
      <c r="B365" s="58" t="s">
        <v>594</v>
      </c>
      <c r="C365" s="58" t="s">
        <v>586</v>
      </c>
      <c r="D365" s="17" t="s">
        <v>30</v>
      </c>
      <c r="E365" s="17"/>
      <c r="F365" s="18">
        <f>SUM(F366:F371)+207.3</f>
        <v>207.3</v>
      </c>
      <c r="G365" s="18">
        <f>SUM(G366:G371)+180.8</f>
        <v>180.8</v>
      </c>
      <c r="H365" s="18">
        <f>SUM(H366:H371)+207.3</f>
        <v>207.3</v>
      </c>
      <c r="I365" s="18">
        <f>SUM(I366:I371)+207.3</f>
        <v>207.3</v>
      </c>
      <c r="J365" s="17" t="s">
        <v>595</v>
      </c>
      <c r="K365" s="19" t="s">
        <v>255</v>
      </c>
      <c r="L365" s="19">
        <v>4</v>
      </c>
      <c r="M365" s="19">
        <v>4</v>
      </c>
      <c r="N365" s="43">
        <v>4</v>
      </c>
    </row>
    <row r="366" spans="1:14" x14ac:dyDescent="0.25">
      <c r="A366" s="56"/>
      <c r="B366" s="59"/>
      <c r="C366" s="59"/>
      <c r="D366" s="20"/>
      <c r="E366" s="20"/>
      <c r="F366" s="21">
        <v>0</v>
      </c>
      <c r="G366" s="21">
        <v>0</v>
      </c>
      <c r="H366" s="21">
        <v>0</v>
      </c>
      <c r="I366" s="21">
        <v>0</v>
      </c>
      <c r="J366" s="20" t="s">
        <v>596</v>
      </c>
      <c r="K366" s="22" t="s">
        <v>255</v>
      </c>
      <c r="L366" s="46">
        <v>1200</v>
      </c>
      <c r="M366" s="46">
        <v>1200</v>
      </c>
      <c r="N366" s="47">
        <v>1200</v>
      </c>
    </row>
    <row r="367" spans="1:14" x14ac:dyDescent="0.25">
      <c r="A367" s="56"/>
      <c r="B367" s="59"/>
      <c r="C367" s="59"/>
      <c r="D367" s="20"/>
      <c r="E367" s="20"/>
      <c r="F367" s="21">
        <v>0</v>
      </c>
      <c r="G367" s="21">
        <v>0</v>
      </c>
      <c r="H367" s="21">
        <v>0</v>
      </c>
      <c r="I367" s="21">
        <v>0</v>
      </c>
      <c r="J367" s="20" t="s">
        <v>597</v>
      </c>
      <c r="K367" s="22" t="s">
        <v>255</v>
      </c>
      <c r="L367" s="22">
        <v>10</v>
      </c>
      <c r="M367" s="22">
        <v>10</v>
      </c>
      <c r="N367" s="44">
        <v>10</v>
      </c>
    </row>
    <row r="368" spans="1:14" ht="30" x14ac:dyDescent="0.25">
      <c r="A368" s="56"/>
      <c r="B368" s="59"/>
      <c r="C368" s="59"/>
      <c r="D368" s="20"/>
      <c r="E368" s="20"/>
      <c r="F368" s="21">
        <v>0</v>
      </c>
      <c r="G368" s="21">
        <v>0</v>
      </c>
      <c r="H368" s="21">
        <v>0</v>
      </c>
      <c r="I368" s="21">
        <v>0</v>
      </c>
      <c r="J368" s="20" t="s">
        <v>598</v>
      </c>
      <c r="K368" s="22" t="s">
        <v>255</v>
      </c>
      <c r="L368" s="22">
        <v>100</v>
      </c>
      <c r="M368" s="22">
        <v>100</v>
      </c>
      <c r="N368" s="44">
        <v>100</v>
      </c>
    </row>
    <row r="369" spans="1:14" x14ac:dyDescent="0.25">
      <c r="A369" s="56"/>
      <c r="B369" s="59"/>
      <c r="C369" s="59"/>
      <c r="D369" s="20"/>
      <c r="E369" s="20"/>
      <c r="F369" s="21">
        <v>0</v>
      </c>
      <c r="G369" s="21">
        <v>0</v>
      </c>
      <c r="H369" s="21">
        <v>0</v>
      </c>
      <c r="I369" s="21">
        <v>0</v>
      </c>
      <c r="J369" s="20" t="s">
        <v>599</v>
      </c>
      <c r="K369" s="22" t="s">
        <v>255</v>
      </c>
      <c r="L369" s="22">
        <v>25</v>
      </c>
      <c r="M369" s="22">
        <v>25</v>
      </c>
      <c r="N369" s="44">
        <v>25</v>
      </c>
    </row>
    <row r="370" spans="1:14" x14ac:dyDescent="0.25">
      <c r="A370" s="56"/>
      <c r="B370" s="59"/>
      <c r="C370" s="59"/>
      <c r="D370" s="20"/>
      <c r="E370" s="20"/>
      <c r="F370" s="21">
        <v>0</v>
      </c>
      <c r="G370" s="21">
        <v>0</v>
      </c>
      <c r="H370" s="21">
        <v>0</v>
      </c>
      <c r="I370" s="21">
        <v>0</v>
      </c>
      <c r="J370" s="20" t="s">
        <v>600</v>
      </c>
      <c r="K370" s="22" t="s">
        <v>255</v>
      </c>
      <c r="L370" s="46">
        <v>1100</v>
      </c>
      <c r="M370" s="46">
        <v>1100</v>
      </c>
      <c r="N370" s="47">
        <v>1100</v>
      </c>
    </row>
    <row r="371" spans="1:14" ht="30.75" thickBot="1" x14ac:dyDescent="0.3">
      <c r="A371" s="57"/>
      <c r="B371" s="60"/>
      <c r="C371" s="60"/>
      <c r="D371" s="20"/>
      <c r="E371" s="20"/>
      <c r="F371" s="21">
        <v>0</v>
      </c>
      <c r="G371" s="21">
        <v>0</v>
      </c>
      <c r="H371" s="21">
        <v>0</v>
      </c>
      <c r="I371" s="21">
        <v>0</v>
      </c>
      <c r="J371" s="20" t="s">
        <v>601</v>
      </c>
      <c r="K371" s="22" t="s">
        <v>255</v>
      </c>
      <c r="L371" s="22">
        <v>1</v>
      </c>
      <c r="M371" s="22">
        <v>1</v>
      </c>
      <c r="N371" s="44">
        <v>1</v>
      </c>
    </row>
    <row r="372" spans="1:14" ht="45" x14ac:dyDescent="0.25">
      <c r="A372" s="55" t="s">
        <v>602</v>
      </c>
      <c r="B372" s="58" t="s">
        <v>603</v>
      </c>
      <c r="C372" s="58" t="s">
        <v>586</v>
      </c>
      <c r="D372" s="17" t="s">
        <v>30</v>
      </c>
      <c r="E372" s="17"/>
      <c r="F372" s="18">
        <f>SUM(F373:F373)+192.3</f>
        <v>192.3</v>
      </c>
      <c r="G372" s="18">
        <f>SUM(G373:G373)+192.3</f>
        <v>192.3</v>
      </c>
      <c r="H372" s="18">
        <f>SUM(H373:H373)+87.3</f>
        <v>87.3</v>
      </c>
      <c r="I372" s="18">
        <f>SUM(I373:I373)+152.1</f>
        <v>152.1</v>
      </c>
      <c r="J372" s="17" t="s">
        <v>604</v>
      </c>
      <c r="K372" s="19" t="s">
        <v>24</v>
      </c>
      <c r="L372" s="19">
        <v>32</v>
      </c>
      <c r="M372" s="19">
        <v>32</v>
      </c>
      <c r="N372" s="43">
        <v>32</v>
      </c>
    </row>
    <row r="373" spans="1:14" ht="15.75" thickBot="1" x14ac:dyDescent="0.3">
      <c r="A373" s="57"/>
      <c r="B373" s="60"/>
      <c r="C373" s="60"/>
      <c r="D373" s="20"/>
      <c r="E373" s="20"/>
      <c r="F373" s="21">
        <v>0</v>
      </c>
      <c r="G373" s="21">
        <v>0</v>
      </c>
      <c r="H373" s="21">
        <v>0</v>
      </c>
      <c r="I373" s="21">
        <v>0</v>
      </c>
      <c r="J373" s="20" t="s">
        <v>605</v>
      </c>
      <c r="K373" s="22" t="s">
        <v>24</v>
      </c>
      <c r="L373" s="22">
        <v>14</v>
      </c>
      <c r="M373" s="22">
        <v>14</v>
      </c>
      <c r="N373" s="44">
        <v>14</v>
      </c>
    </row>
    <row r="374" spans="1:14" ht="30" x14ac:dyDescent="0.25">
      <c r="A374" s="55" t="s">
        <v>606</v>
      </c>
      <c r="B374" s="58" t="s">
        <v>607</v>
      </c>
      <c r="C374" s="58" t="s">
        <v>586</v>
      </c>
      <c r="D374" s="17"/>
      <c r="E374" s="17"/>
      <c r="F374" s="18">
        <f>SUM(F375:F379)</f>
        <v>71</v>
      </c>
      <c r="G374" s="18">
        <f>SUM(G375:G379)</f>
        <v>30.3</v>
      </c>
      <c r="H374" s="18">
        <f>SUM(H375:H379)</f>
        <v>56</v>
      </c>
      <c r="I374" s="18">
        <f>SUM(I375:I379)</f>
        <v>56</v>
      </c>
      <c r="J374" s="17" t="s">
        <v>608</v>
      </c>
      <c r="K374" s="19" t="s">
        <v>255</v>
      </c>
      <c r="L374" s="19">
        <v>24</v>
      </c>
      <c r="M374" s="19">
        <v>24</v>
      </c>
      <c r="N374" s="43">
        <v>24</v>
      </c>
    </row>
    <row r="375" spans="1:14" ht="45" x14ac:dyDescent="0.25">
      <c r="A375" s="56"/>
      <c r="B375" s="59"/>
      <c r="C375" s="59"/>
      <c r="D375" s="20" t="s">
        <v>30</v>
      </c>
      <c r="E375" s="20"/>
      <c r="F375" s="21">
        <v>56</v>
      </c>
      <c r="G375" s="21">
        <v>15.3</v>
      </c>
      <c r="H375" s="21">
        <v>56</v>
      </c>
      <c r="I375" s="21">
        <v>56</v>
      </c>
      <c r="J375" s="20" t="s">
        <v>609</v>
      </c>
      <c r="K375" s="22" t="s">
        <v>255</v>
      </c>
      <c r="L375" s="22">
        <v>45</v>
      </c>
      <c r="M375" s="22">
        <v>48</v>
      </c>
      <c r="N375" s="44">
        <v>48</v>
      </c>
    </row>
    <row r="376" spans="1:14" ht="30" x14ac:dyDescent="0.25">
      <c r="A376" s="56"/>
      <c r="B376" s="59"/>
      <c r="C376" s="59"/>
      <c r="D376" s="20" t="s">
        <v>35</v>
      </c>
      <c r="E376" s="20"/>
      <c r="F376" s="21">
        <v>15</v>
      </c>
      <c r="G376" s="21">
        <v>15</v>
      </c>
      <c r="H376" s="21">
        <v>0</v>
      </c>
      <c r="I376" s="21">
        <v>0</v>
      </c>
      <c r="J376" s="20" t="s">
        <v>610</v>
      </c>
      <c r="K376" s="22" t="s">
        <v>24</v>
      </c>
      <c r="L376" s="22">
        <v>1</v>
      </c>
      <c r="M376" s="22">
        <v>1</v>
      </c>
      <c r="N376" s="44">
        <v>1</v>
      </c>
    </row>
    <row r="377" spans="1:14" ht="30" x14ac:dyDescent="0.25">
      <c r="A377" s="56"/>
      <c r="B377" s="59"/>
      <c r="C377" s="59"/>
      <c r="D377" s="20"/>
      <c r="E377" s="20"/>
      <c r="F377" s="21">
        <v>0</v>
      </c>
      <c r="G377" s="21">
        <v>0</v>
      </c>
      <c r="H377" s="21">
        <v>0</v>
      </c>
      <c r="I377" s="21">
        <v>0</v>
      </c>
      <c r="J377" s="20" t="s">
        <v>611</v>
      </c>
      <c r="K377" s="22" t="s">
        <v>24</v>
      </c>
      <c r="L377" s="22">
        <v>1</v>
      </c>
      <c r="M377" s="22">
        <v>1</v>
      </c>
      <c r="N377" s="44">
        <v>1</v>
      </c>
    </row>
    <row r="378" spans="1:14" ht="30" x14ac:dyDescent="0.25">
      <c r="A378" s="56"/>
      <c r="B378" s="59"/>
      <c r="C378" s="59"/>
      <c r="D378" s="20"/>
      <c r="E378" s="20"/>
      <c r="F378" s="21">
        <v>0</v>
      </c>
      <c r="G378" s="21">
        <v>0</v>
      </c>
      <c r="H378" s="21">
        <v>0</v>
      </c>
      <c r="I378" s="21">
        <v>0</v>
      </c>
      <c r="J378" s="20" t="s">
        <v>612</v>
      </c>
      <c r="K378" s="22" t="s">
        <v>24</v>
      </c>
      <c r="L378" s="22">
        <v>1</v>
      </c>
      <c r="M378" s="22">
        <v>1</v>
      </c>
      <c r="N378" s="44">
        <v>1</v>
      </c>
    </row>
    <row r="379" spans="1:14" ht="15.75" thickBot="1" x14ac:dyDescent="0.3">
      <c r="A379" s="57"/>
      <c r="B379" s="60"/>
      <c r="C379" s="60"/>
      <c r="D379" s="20"/>
      <c r="E379" s="20"/>
      <c r="F379" s="21">
        <v>0</v>
      </c>
      <c r="G379" s="21">
        <v>0</v>
      </c>
      <c r="H379" s="21">
        <v>0</v>
      </c>
      <c r="I379" s="21">
        <v>0</v>
      </c>
      <c r="J379" s="20" t="s">
        <v>613</v>
      </c>
      <c r="K379" s="22" t="s">
        <v>255</v>
      </c>
      <c r="L379" s="22">
        <v>1</v>
      </c>
      <c r="M379" s="22">
        <v>1</v>
      </c>
      <c r="N379" s="44">
        <v>1</v>
      </c>
    </row>
    <row r="380" spans="1:14" x14ac:dyDescent="0.25">
      <c r="A380" s="55" t="s">
        <v>614</v>
      </c>
      <c r="B380" s="58" t="s">
        <v>615</v>
      </c>
      <c r="C380" s="58" t="s">
        <v>586</v>
      </c>
      <c r="D380" s="17" t="s">
        <v>30</v>
      </c>
      <c r="E380" s="17" t="s">
        <v>616</v>
      </c>
      <c r="F380" s="18">
        <f>SUM(F381:F390)+423.9</f>
        <v>423.9</v>
      </c>
      <c r="G380" s="18">
        <f>SUM(G381:G390)+397.1</f>
        <v>397.1</v>
      </c>
      <c r="H380" s="18">
        <f>SUM(H381:H390)+423.9</f>
        <v>423.9</v>
      </c>
      <c r="I380" s="18">
        <f>SUM(I381:I390)+450.9</f>
        <v>450.9</v>
      </c>
      <c r="J380" s="17" t="s">
        <v>617</v>
      </c>
      <c r="K380" s="19" t="s">
        <v>255</v>
      </c>
      <c r="L380" s="19">
        <v>120</v>
      </c>
      <c r="M380" s="19">
        <v>120</v>
      </c>
      <c r="N380" s="43">
        <v>120</v>
      </c>
    </row>
    <row r="381" spans="1:14" x14ac:dyDescent="0.25">
      <c r="A381" s="56"/>
      <c r="B381" s="59"/>
      <c r="C381" s="59"/>
      <c r="D381" s="20"/>
      <c r="E381" s="20"/>
      <c r="F381" s="21">
        <v>0</v>
      </c>
      <c r="G381" s="21">
        <v>0</v>
      </c>
      <c r="H381" s="21">
        <v>0</v>
      </c>
      <c r="I381" s="21">
        <v>0</v>
      </c>
      <c r="J381" s="20" t="s">
        <v>618</v>
      </c>
      <c r="K381" s="22" t="s">
        <v>255</v>
      </c>
      <c r="L381" s="22">
        <v>4</v>
      </c>
      <c r="M381" s="22">
        <v>4</v>
      </c>
      <c r="N381" s="44">
        <v>3</v>
      </c>
    </row>
    <row r="382" spans="1:14" ht="45" x14ac:dyDescent="0.25">
      <c r="A382" s="56"/>
      <c r="B382" s="59"/>
      <c r="C382" s="59"/>
      <c r="D382" s="20"/>
      <c r="E382" s="20"/>
      <c r="F382" s="21">
        <v>0</v>
      </c>
      <c r="G382" s="21">
        <v>0</v>
      </c>
      <c r="H382" s="21">
        <v>0</v>
      </c>
      <c r="I382" s="21">
        <v>0</v>
      </c>
      <c r="J382" s="20" t="s">
        <v>619</v>
      </c>
      <c r="K382" s="22" t="s">
        <v>255</v>
      </c>
      <c r="L382" s="22">
        <v>6</v>
      </c>
      <c r="M382" s="22">
        <v>6</v>
      </c>
      <c r="N382" s="44">
        <v>6</v>
      </c>
    </row>
    <row r="383" spans="1:14" ht="55.5" customHeight="1" x14ac:dyDescent="0.25">
      <c r="A383" s="56"/>
      <c r="B383" s="59"/>
      <c r="C383" s="59"/>
      <c r="D383" s="20"/>
      <c r="E383" s="20"/>
      <c r="F383" s="21">
        <v>0</v>
      </c>
      <c r="G383" s="21">
        <v>0</v>
      </c>
      <c r="H383" s="21">
        <v>0</v>
      </c>
      <c r="I383" s="21">
        <v>0</v>
      </c>
      <c r="J383" s="20" t="s">
        <v>620</v>
      </c>
      <c r="K383" s="22" t="s">
        <v>255</v>
      </c>
      <c r="L383" s="22">
        <v>1</v>
      </c>
      <c r="M383" s="22">
        <v>1</v>
      </c>
      <c r="N383" s="44">
        <v>1</v>
      </c>
    </row>
    <row r="384" spans="1:14" ht="30" x14ac:dyDescent="0.25">
      <c r="A384" s="56"/>
      <c r="B384" s="59"/>
      <c r="C384" s="59"/>
      <c r="D384" s="20"/>
      <c r="E384" s="20"/>
      <c r="F384" s="21">
        <v>0</v>
      </c>
      <c r="G384" s="21">
        <v>0</v>
      </c>
      <c r="H384" s="21">
        <v>0</v>
      </c>
      <c r="I384" s="21">
        <v>0</v>
      </c>
      <c r="J384" s="20" t="s">
        <v>621</v>
      </c>
      <c r="K384" s="22" t="s">
        <v>255</v>
      </c>
      <c r="L384" s="22">
        <v>10</v>
      </c>
      <c r="M384" s="22">
        <v>10</v>
      </c>
      <c r="N384" s="44">
        <v>10</v>
      </c>
    </row>
    <row r="385" spans="1:14" x14ac:dyDescent="0.25">
      <c r="A385" s="56"/>
      <c r="B385" s="59"/>
      <c r="C385" s="59"/>
      <c r="D385" s="20"/>
      <c r="E385" s="20"/>
      <c r="F385" s="21">
        <v>0</v>
      </c>
      <c r="G385" s="21">
        <v>0</v>
      </c>
      <c r="H385" s="21">
        <v>0</v>
      </c>
      <c r="I385" s="21">
        <v>0</v>
      </c>
      <c r="J385" s="20" t="s">
        <v>622</v>
      </c>
      <c r="K385" s="22" t="s">
        <v>255</v>
      </c>
      <c r="L385" s="22">
        <v>50</v>
      </c>
      <c r="M385" s="22">
        <v>50</v>
      </c>
      <c r="N385" s="44">
        <v>50</v>
      </c>
    </row>
    <row r="386" spans="1:14" x14ac:dyDescent="0.25">
      <c r="A386" s="56"/>
      <c r="B386" s="59"/>
      <c r="C386" s="59"/>
      <c r="D386" s="20"/>
      <c r="E386" s="20"/>
      <c r="F386" s="21">
        <v>0</v>
      </c>
      <c r="G386" s="21">
        <v>0</v>
      </c>
      <c r="H386" s="21">
        <v>0</v>
      </c>
      <c r="I386" s="21">
        <v>0</v>
      </c>
      <c r="J386" s="20" t="s">
        <v>623</v>
      </c>
      <c r="K386" s="22" t="s">
        <v>255</v>
      </c>
      <c r="L386" s="22">
        <v>2</v>
      </c>
      <c r="M386" s="22">
        <v>2</v>
      </c>
      <c r="N386" s="44">
        <v>2</v>
      </c>
    </row>
    <row r="387" spans="1:14" ht="30" x14ac:dyDescent="0.25">
      <c r="A387" s="56"/>
      <c r="B387" s="59"/>
      <c r="C387" s="59"/>
      <c r="D387" s="20"/>
      <c r="E387" s="20"/>
      <c r="F387" s="21">
        <v>0</v>
      </c>
      <c r="G387" s="21">
        <v>0</v>
      </c>
      <c r="H387" s="21">
        <v>0</v>
      </c>
      <c r="I387" s="21">
        <v>0</v>
      </c>
      <c r="J387" s="20" t="s">
        <v>624</v>
      </c>
      <c r="K387" s="22" t="s">
        <v>24</v>
      </c>
      <c r="L387" s="22">
        <v>1</v>
      </c>
      <c r="M387" s="22">
        <v>1</v>
      </c>
      <c r="N387" s="44">
        <v>1</v>
      </c>
    </row>
    <row r="388" spans="1:14" ht="30" x14ac:dyDescent="0.25">
      <c r="A388" s="56"/>
      <c r="B388" s="59"/>
      <c r="C388" s="59"/>
      <c r="D388" s="20"/>
      <c r="E388" s="20"/>
      <c r="F388" s="21">
        <v>0</v>
      </c>
      <c r="G388" s="21">
        <v>0</v>
      </c>
      <c r="H388" s="21">
        <v>0</v>
      </c>
      <c r="I388" s="21">
        <v>0</v>
      </c>
      <c r="J388" s="20" t="s">
        <v>625</v>
      </c>
      <c r="K388" s="22" t="s">
        <v>24</v>
      </c>
      <c r="L388" s="22">
        <v>1</v>
      </c>
      <c r="M388" s="22">
        <v>1</v>
      </c>
      <c r="N388" s="44">
        <v>1</v>
      </c>
    </row>
    <row r="389" spans="1:14" x14ac:dyDescent="0.25">
      <c r="A389" s="56"/>
      <c r="B389" s="59"/>
      <c r="C389" s="59"/>
      <c r="D389" s="20"/>
      <c r="E389" s="20"/>
      <c r="F389" s="21">
        <v>0</v>
      </c>
      <c r="G389" s="21">
        <v>0</v>
      </c>
      <c r="H389" s="21">
        <v>0</v>
      </c>
      <c r="I389" s="21">
        <v>0</v>
      </c>
      <c r="J389" s="20" t="s">
        <v>626</v>
      </c>
      <c r="K389" s="22" t="s">
        <v>255</v>
      </c>
      <c r="L389" s="22">
        <v>1</v>
      </c>
      <c r="M389" s="22">
        <v>1</v>
      </c>
      <c r="N389" s="44">
        <v>1</v>
      </c>
    </row>
    <row r="390" spans="1:14" ht="30.75" thickBot="1" x14ac:dyDescent="0.3">
      <c r="A390" s="57"/>
      <c r="B390" s="60"/>
      <c r="C390" s="60"/>
      <c r="D390" s="20"/>
      <c r="E390" s="20"/>
      <c r="F390" s="21">
        <v>0</v>
      </c>
      <c r="G390" s="21">
        <v>0</v>
      </c>
      <c r="H390" s="21">
        <v>0</v>
      </c>
      <c r="I390" s="21">
        <v>0</v>
      </c>
      <c r="J390" s="20" t="s">
        <v>627</v>
      </c>
      <c r="K390" s="22" t="s">
        <v>255</v>
      </c>
      <c r="L390" s="22">
        <v>2</v>
      </c>
      <c r="M390" s="22">
        <v>2</v>
      </c>
      <c r="N390" s="44">
        <v>2</v>
      </c>
    </row>
    <row r="391" spans="1:14" ht="30.75" thickBot="1" x14ac:dyDescent="0.3">
      <c r="A391" s="23" t="s">
        <v>628</v>
      </c>
      <c r="B391" s="24" t="s">
        <v>629</v>
      </c>
      <c r="C391" s="17" t="s">
        <v>586</v>
      </c>
      <c r="D391" s="17" t="s">
        <v>30</v>
      </c>
      <c r="E391" s="17" t="s">
        <v>616</v>
      </c>
      <c r="F391" s="25">
        <v>30</v>
      </c>
      <c r="G391" s="25">
        <v>27.4</v>
      </c>
      <c r="H391" s="25">
        <v>30</v>
      </c>
      <c r="I391" s="25">
        <v>33</v>
      </c>
      <c r="J391" s="17" t="s">
        <v>630</v>
      </c>
      <c r="K391" s="19" t="s">
        <v>255</v>
      </c>
      <c r="L391" s="50">
        <v>1200</v>
      </c>
      <c r="M391" s="50">
        <v>1200</v>
      </c>
      <c r="N391" s="51">
        <v>1200</v>
      </c>
    </row>
    <row r="392" spans="1:14" ht="42" customHeight="1" thickBot="1" x14ac:dyDescent="0.3">
      <c r="A392" s="23" t="s">
        <v>631</v>
      </c>
      <c r="B392" s="24" t="s">
        <v>632</v>
      </c>
      <c r="C392" s="17" t="s">
        <v>586</v>
      </c>
      <c r="D392" s="17" t="s">
        <v>30</v>
      </c>
      <c r="E392" s="17"/>
      <c r="F392" s="25">
        <v>98.8</v>
      </c>
      <c r="G392" s="25">
        <v>81.3</v>
      </c>
      <c r="H392" s="25">
        <v>98.8</v>
      </c>
      <c r="I392" s="25">
        <v>98.8</v>
      </c>
      <c r="J392" s="17" t="s">
        <v>633</v>
      </c>
      <c r="K392" s="19" t="s">
        <v>255</v>
      </c>
      <c r="L392" s="19">
        <v>6</v>
      </c>
      <c r="M392" s="19">
        <v>6</v>
      </c>
      <c r="N392" s="43">
        <v>6</v>
      </c>
    </row>
    <row r="393" spans="1:14" ht="28.5" customHeight="1" thickBot="1" x14ac:dyDescent="0.3">
      <c r="A393" s="15" t="s">
        <v>634</v>
      </c>
      <c r="B393" s="72" t="s">
        <v>635</v>
      </c>
      <c r="C393" s="73"/>
      <c r="D393" s="73"/>
      <c r="E393" s="74"/>
      <c r="F393" s="16">
        <f>F394+F404+F406+F407+F410+F413+F421+F424+F425+F434+F435+F436+F439+F440+F441+F443+F444</f>
        <v>99100.800000000003</v>
      </c>
      <c r="G393" s="16">
        <f>G394+G404+G406+G407+G410+G413+G421+G424+G425+G434+G435+G436+G439+G440+G441+G443+G444+0.1</f>
        <v>102931.20000000003</v>
      </c>
      <c r="H393" s="16">
        <f>H394+H404+H406+H407+H410+H413+H421+H424+H425+H434+H435+H436+H439+H440+H441+H443+H444</f>
        <v>97696</v>
      </c>
      <c r="I393" s="16">
        <f>I394+I404+I406+I407+I410+I413+I421+I424+I425+I434+I435+I436+I439+I440+I441+I443+I444</f>
        <v>97246.8</v>
      </c>
      <c r="J393" s="61"/>
      <c r="K393" s="62"/>
      <c r="L393" s="62"/>
      <c r="M393" s="62"/>
      <c r="N393" s="63"/>
    </row>
    <row r="394" spans="1:14" x14ac:dyDescent="0.25">
      <c r="A394" s="55" t="s">
        <v>636</v>
      </c>
      <c r="B394" s="58" t="s">
        <v>637</v>
      </c>
      <c r="C394" s="58" t="s">
        <v>586</v>
      </c>
      <c r="D394" s="17"/>
      <c r="E394" s="17"/>
      <c r="F394" s="18">
        <f>SUM(F395:F403)</f>
        <v>61102.000000000007</v>
      </c>
      <c r="G394" s="18">
        <f>SUM(G395:G403)</f>
        <v>64936.600000000013</v>
      </c>
      <c r="H394" s="18">
        <f>SUM(H395:H403)</f>
        <v>60415.1</v>
      </c>
      <c r="I394" s="18">
        <f>SUM(I395:I403)</f>
        <v>60370.6</v>
      </c>
      <c r="J394" s="17" t="s">
        <v>638</v>
      </c>
      <c r="K394" s="19" t="s">
        <v>255</v>
      </c>
      <c r="L394" s="19">
        <v>32</v>
      </c>
      <c r="M394" s="19">
        <v>32</v>
      </c>
      <c r="N394" s="43">
        <v>32</v>
      </c>
    </row>
    <row r="395" spans="1:14" x14ac:dyDescent="0.25">
      <c r="A395" s="56"/>
      <c r="B395" s="59"/>
      <c r="C395" s="59"/>
      <c r="D395" s="20" t="s">
        <v>35</v>
      </c>
      <c r="E395" s="20"/>
      <c r="F395" s="21">
        <v>337.4</v>
      </c>
      <c r="G395" s="21">
        <v>338.4</v>
      </c>
      <c r="H395" s="21">
        <v>0</v>
      </c>
      <c r="I395" s="21">
        <v>0</v>
      </c>
      <c r="J395" s="20" t="s">
        <v>639</v>
      </c>
      <c r="K395" s="22" t="s">
        <v>255</v>
      </c>
      <c r="L395" s="46">
        <v>14000</v>
      </c>
      <c r="M395" s="46">
        <v>14000</v>
      </c>
      <c r="N395" s="47">
        <v>14000</v>
      </c>
    </row>
    <row r="396" spans="1:14" x14ac:dyDescent="0.25">
      <c r="A396" s="56"/>
      <c r="B396" s="59"/>
      <c r="C396" s="59"/>
      <c r="D396" s="20" t="s">
        <v>121</v>
      </c>
      <c r="E396" s="20"/>
      <c r="F396" s="21">
        <v>6273.7</v>
      </c>
      <c r="G396" s="21">
        <v>8377</v>
      </c>
      <c r="H396" s="21">
        <v>6273.7</v>
      </c>
      <c r="I396" s="21">
        <v>6273.7</v>
      </c>
      <c r="J396" s="20" t="s">
        <v>640</v>
      </c>
      <c r="K396" s="22" t="s">
        <v>24</v>
      </c>
      <c r="L396" s="22">
        <v>1</v>
      </c>
      <c r="M396" s="22">
        <v>1</v>
      </c>
      <c r="N396" s="44">
        <v>1</v>
      </c>
    </row>
    <row r="397" spans="1:14" ht="30" x14ac:dyDescent="0.25">
      <c r="A397" s="56"/>
      <c r="B397" s="59"/>
      <c r="C397" s="59"/>
      <c r="D397" s="20" t="s">
        <v>641</v>
      </c>
      <c r="E397" s="20"/>
      <c r="F397" s="21">
        <v>36874.9</v>
      </c>
      <c r="G397" s="21">
        <v>38010.400000000001</v>
      </c>
      <c r="H397" s="21">
        <v>36874.9</v>
      </c>
      <c r="I397" s="21">
        <v>36874.9</v>
      </c>
      <c r="J397" s="20" t="s">
        <v>642</v>
      </c>
      <c r="K397" s="22" t="s">
        <v>255</v>
      </c>
      <c r="L397" s="46">
        <v>5500</v>
      </c>
      <c r="M397" s="46">
        <v>5500</v>
      </c>
      <c r="N397" s="47">
        <v>5500</v>
      </c>
    </row>
    <row r="398" spans="1:14" ht="45" x14ac:dyDescent="0.25">
      <c r="A398" s="56"/>
      <c r="B398" s="59"/>
      <c r="C398" s="59"/>
      <c r="D398" s="20" t="s">
        <v>123</v>
      </c>
      <c r="E398" s="20"/>
      <c r="F398" s="21">
        <v>1134.4000000000001</v>
      </c>
      <c r="G398" s="21">
        <v>1278.8</v>
      </c>
      <c r="H398" s="21">
        <v>1056.9000000000001</v>
      </c>
      <c r="I398" s="21">
        <v>1049.2</v>
      </c>
      <c r="J398" s="20" t="s">
        <v>643</v>
      </c>
      <c r="K398" s="22" t="s">
        <v>255</v>
      </c>
      <c r="L398" s="22">
        <v>300</v>
      </c>
      <c r="M398" s="22">
        <v>300</v>
      </c>
      <c r="N398" s="44">
        <v>0</v>
      </c>
    </row>
    <row r="399" spans="1:14" ht="30" x14ac:dyDescent="0.25">
      <c r="A399" s="56"/>
      <c r="B399" s="59"/>
      <c r="C399" s="59"/>
      <c r="D399" s="20" t="s">
        <v>119</v>
      </c>
      <c r="E399" s="20"/>
      <c r="F399" s="21">
        <v>864.9</v>
      </c>
      <c r="G399" s="21">
        <v>1441.8</v>
      </c>
      <c r="H399" s="21">
        <v>562.5</v>
      </c>
      <c r="I399" s="21">
        <v>486.1</v>
      </c>
      <c r="J399" s="20" t="s">
        <v>644</v>
      </c>
      <c r="K399" s="22" t="s">
        <v>24</v>
      </c>
      <c r="L399" s="22">
        <v>1</v>
      </c>
      <c r="M399" s="22">
        <v>1</v>
      </c>
      <c r="N399" s="44">
        <v>1</v>
      </c>
    </row>
    <row r="400" spans="1:14" x14ac:dyDescent="0.25">
      <c r="A400" s="56"/>
      <c r="B400" s="59"/>
      <c r="C400" s="59"/>
      <c r="D400" s="20" t="s">
        <v>125</v>
      </c>
      <c r="E400" s="20"/>
      <c r="F400" s="21">
        <v>755.3</v>
      </c>
      <c r="G400" s="21">
        <v>1250</v>
      </c>
      <c r="H400" s="21">
        <v>743</v>
      </c>
      <c r="I400" s="21">
        <v>743</v>
      </c>
      <c r="J400" s="20" t="s">
        <v>645</v>
      </c>
      <c r="K400" s="22" t="s">
        <v>255</v>
      </c>
      <c r="L400" s="22">
        <v>27</v>
      </c>
      <c r="M400" s="22">
        <v>27</v>
      </c>
      <c r="N400" s="44">
        <v>27</v>
      </c>
    </row>
    <row r="401" spans="1:14" x14ac:dyDescent="0.25">
      <c r="A401" s="56"/>
      <c r="B401" s="59"/>
      <c r="C401" s="59"/>
      <c r="D401" s="20" t="s">
        <v>30</v>
      </c>
      <c r="E401" s="20"/>
      <c r="F401" s="21">
        <v>13356.9</v>
      </c>
      <c r="G401" s="21">
        <v>12452.3</v>
      </c>
      <c r="H401" s="21">
        <v>13356.9</v>
      </c>
      <c r="I401" s="21">
        <v>13356.9</v>
      </c>
      <c r="J401" s="20" t="s">
        <v>646</v>
      </c>
      <c r="K401" s="22" t="s">
        <v>223</v>
      </c>
      <c r="L401" s="22">
        <v>12.4</v>
      </c>
      <c r="M401" s="22">
        <v>12.4</v>
      </c>
      <c r="N401" s="44">
        <v>12.4</v>
      </c>
    </row>
    <row r="402" spans="1:14" ht="66.75" customHeight="1" x14ac:dyDescent="0.25">
      <c r="A402" s="56"/>
      <c r="B402" s="59"/>
      <c r="C402" s="59"/>
      <c r="D402" s="20" t="s">
        <v>128</v>
      </c>
      <c r="E402" s="20"/>
      <c r="F402" s="21">
        <v>1504.5</v>
      </c>
      <c r="G402" s="21">
        <v>1787.9</v>
      </c>
      <c r="H402" s="21">
        <v>1547.2</v>
      </c>
      <c r="I402" s="21">
        <v>1586.8</v>
      </c>
      <c r="J402" s="20" t="s">
        <v>647</v>
      </c>
      <c r="K402" s="22" t="s">
        <v>255</v>
      </c>
      <c r="L402" s="46">
        <v>13202</v>
      </c>
      <c r="M402" s="46">
        <v>13200</v>
      </c>
      <c r="N402" s="47">
        <v>13200</v>
      </c>
    </row>
    <row r="403" spans="1:14" ht="45.75" thickBot="1" x14ac:dyDescent="0.3">
      <c r="A403" s="57"/>
      <c r="B403" s="60"/>
      <c r="C403" s="60"/>
      <c r="D403" s="20"/>
      <c r="E403" s="20"/>
      <c r="F403" s="21">
        <v>0</v>
      </c>
      <c r="G403" s="21">
        <v>0</v>
      </c>
      <c r="H403" s="21">
        <v>0</v>
      </c>
      <c r="I403" s="21">
        <v>0</v>
      </c>
      <c r="J403" s="20" t="s">
        <v>648</v>
      </c>
      <c r="K403" s="22" t="s">
        <v>20</v>
      </c>
      <c r="L403" s="22">
        <v>10</v>
      </c>
      <c r="M403" s="22">
        <v>10</v>
      </c>
      <c r="N403" s="44">
        <v>10</v>
      </c>
    </row>
    <row r="404" spans="1:14" ht="30" x14ac:dyDescent="0.25">
      <c r="A404" s="55" t="s">
        <v>649</v>
      </c>
      <c r="B404" s="58" t="s">
        <v>650</v>
      </c>
      <c r="C404" s="58" t="s">
        <v>586</v>
      </c>
      <c r="D404" s="17"/>
      <c r="E404" s="17"/>
      <c r="F404" s="18">
        <f>SUM(F405:F405)</f>
        <v>662.3</v>
      </c>
      <c r="G404" s="18">
        <f>SUM(G405:G405)</f>
        <v>35.200000000000003</v>
      </c>
      <c r="H404" s="18">
        <f>SUM(H405:H405)</f>
        <v>662.3</v>
      </c>
      <c r="I404" s="18">
        <f>SUM(I405:I405)</f>
        <v>662.3</v>
      </c>
      <c r="J404" s="17" t="s">
        <v>651</v>
      </c>
      <c r="K404" s="19" t="s">
        <v>255</v>
      </c>
      <c r="L404" s="19">
        <v>55</v>
      </c>
      <c r="M404" s="19">
        <v>55</v>
      </c>
      <c r="N404" s="43">
        <v>55</v>
      </c>
    </row>
    <row r="405" spans="1:14" ht="30.75" thickBot="1" x14ac:dyDescent="0.3">
      <c r="A405" s="57"/>
      <c r="B405" s="60"/>
      <c r="C405" s="60"/>
      <c r="D405" s="20" t="s">
        <v>641</v>
      </c>
      <c r="E405" s="20"/>
      <c r="F405" s="21">
        <v>662.3</v>
      </c>
      <c r="G405" s="21">
        <v>35.200000000000003</v>
      </c>
      <c r="H405" s="21">
        <v>662.3</v>
      </c>
      <c r="I405" s="21">
        <v>662.3</v>
      </c>
      <c r="J405" s="20" t="s">
        <v>652</v>
      </c>
      <c r="K405" s="22" t="s">
        <v>255</v>
      </c>
      <c r="L405" s="22">
        <v>30</v>
      </c>
      <c r="M405" s="22">
        <v>30</v>
      </c>
      <c r="N405" s="44">
        <v>30</v>
      </c>
    </row>
    <row r="406" spans="1:14" ht="30.75" thickBot="1" x14ac:dyDescent="0.3">
      <c r="A406" s="23" t="s">
        <v>653</v>
      </c>
      <c r="B406" s="24" t="s">
        <v>654</v>
      </c>
      <c r="C406" s="17" t="s">
        <v>586</v>
      </c>
      <c r="D406" s="17" t="s">
        <v>30</v>
      </c>
      <c r="E406" s="17"/>
      <c r="F406" s="25">
        <v>80</v>
      </c>
      <c r="G406" s="25">
        <v>56.7</v>
      </c>
      <c r="H406" s="25">
        <v>80</v>
      </c>
      <c r="I406" s="25">
        <v>80</v>
      </c>
      <c r="J406" s="17" t="s">
        <v>655</v>
      </c>
      <c r="K406" s="19" t="s">
        <v>255</v>
      </c>
      <c r="L406" s="19">
        <v>700</v>
      </c>
      <c r="M406" s="19">
        <v>700</v>
      </c>
      <c r="N406" s="43">
        <v>700</v>
      </c>
    </row>
    <row r="407" spans="1:14" ht="30" x14ac:dyDescent="0.25">
      <c r="A407" s="55" t="s">
        <v>656</v>
      </c>
      <c r="B407" s="58" t="s">
        <v>657</v>
      </c>
      <c r="C407" s="58" t="s">
        <v>586</v>
      </c>
      <c r="D407" s="17"/>
      <c r="E407" s="17"/>
      <c r="F407" s="18">
        <f>SUM(F408:F409)</f>
        <v>912.80000000000007</v>
      </c>
      <c r="G407" s="18">
        <f>SUM(G408:G409)</f>
        <v>916.1</v>
      </c>
      <c r="H407" s="18">
        <f>SUM(H408:H409)</f>
        <v>912.80000000000007</v>
      </c>
      <c r="I407" s="18">
        <f>SUM(I408:I409)</f>
        <v>912.80000000000007</v>
      </c>
      <c r="J407" s="17" t="s">
        <v>658</v>
      </c>
      <c r="K407" s="19" t="s">
        <v>255</v>
      </c>
      <c r="L407" s="19">
        <v>2</v>
      </c>
      <c r="M407" s="19">
        <v>2</v>
      </c>
      <c r="N407" s="43">
        <v>2</v>
      </c>
    </row>
    <row r="408" spans="1:14" ht="30" x14ac:dyDescent="0.25">
      <c r="A408" s="56"/>
      <c r="B408" s="59"/>
      <c r="C408" s="59"/>
      <c r="D408" s="20" t="s">
        <v>30</v>
      </c>
      <c r="E408" s="20"/>
      <c r="F408" s="21">
        <v>57.1</v>
      </c>
      <c r="G408" s="21">
        <v>57.1</v>
      </c>
      <c r="H408" s="21">
        <v>57.1</v>
      </c>
      <c r="I408" s="21">
        <v>57.1</v>
      </c>
      <c r="J408" s="20" t="s">
        <v>659</v>
      </c>
      <c r="K408" s="22" t="s">
        <v>255</v>
      </c>
      <c r="L408" s="22">
        <v>1</v>
      </c>
      <c r="M408" s="22">
        <v>1</v>
      </c>
      <c r="N408" s="44">
        <v>1</v>
      </c>
    </row>
    <row r="409" spans="1:14" ht="15.75" thickBot="1" x14ac:dyDescent="0.3">
      <c r="A409" s="57"/>
      <c r="B409" s="60"/>
      <c r="C409" s="60"/>
      <c r="D409" s="20" t="s">
        <v>641</v>
      </c>
      <c r="E409" s="20"/>
      <c r="F409" s="21">
        <v>855.7</v>
      </c>
      <c r="G409" s="21">
        <v>859</v>
      </c>
      <c r="H409" s="21">
        <v>855.7</v>
      </c>
      <c r="I409" s="21">
        <v>855.7</v>
      </c>
      <c r="J409" s="20"/>
      <c r="K409" s="22"/>
      <c r="L409" s="22"/>
      <c r="M409" s="22"/>
      <c r="N409" s="44"/>
    </row>
    <row r="410" spans="1:14" x14ac:dyDescent="0.25">
      <c r="A410" s="55" t="s">
        <v>660</v>
      </c>
      <c r="B410" s="58" t="s">
        <v>661</v>
      </c>
      <c r="C410" s="58" t="s">
        <v>586</v>
      </c>
      <c r="D410" s="17"/>
      <c r="E410" s="17"/>
      <c r="F410" s="18">
        <f>SUM(F411:F412)</f>
        <v>332</v>
      </c>
      <c r="G410" s="18">
        <f>SUM(G411:G412)</f>
        <v>97.8</v>
      </c>
      <c r="H410" s="18">
        <f>SUM(H411:H412)</f>
        <v>332</v>
      </c>
      <c r="I410" s="18">
        <f>SUM(I411:I412)</f>
        <v>0</v>
      </c>
      <c r="J410" s="17" t="s">
        <v>662</v>
      </c>
      <c r="K410" s="19" t="s">
        <v>255</v>
      </c>
      <c r="L410" s="19">
        <v>6</v>
      </c>
      <c r="M410" s="19">
        <v>6</v>
      </c>
      <c r="N410" s="43"/>
    </row>
    <row r="411" spans="1:14" x14ac:dyDescent="0.25">
      <c r="A411" s="56"/>
      <c r="B411" s="59"/>
      <c r="C411" s="59"/>
      <c r="D411" s="20" t="s">
        <v>136</v>
      </c>
      <c r="E411" s="20"/>
      <c r="F411" s="21">
        <v>282.2</v>
      </c>
      <c r="G411" s="21">
        <v>48.9</v>
      </c>
      <c r="H411" s="21">
        <v>282.2</v>
      </c>
      <c r="I411" s="21">
        <v>0</v>
      </c>
      <c r="J411" s="20"/>
      <c r="K411" s="22"/>
      <c r="L411" s="22"/>
      <c r="M411" s="22"/>
      <c r="N411" s="44"/>
    </row>
    <row r="412" spans="1:14" ht="15.75" thickBot="1" x14ac:dyDescent="0.3">
      <c r="A412" s="57"/>
      <c r="B412" s="60"/>
      <c r="C412" s="60"/>
      <c r="D412" s="20" t="s">
        <v>30</v>
      </c>
      <c r="E412" s="20"/>
      <c r="F412" s="21">
        <v>49.8</v>
      </c>
      <c r="G412" s="21">
        <v>48.9</v>
      </c>
      <c r="H412" s="21">
        <v>49.8</v>
      </c>
      <c r="I412" s="21">
        <v>0</v>
      </c>
      <c r="J412" s="20"/>
      <c r="K412" s="22"/>
      <c r="L412" s="22"/>
      <c r="M412" s="22"/>
      <c r="N412" s="44"/>
    </row>
    <row r="413" spans="1:14" x14ac:dyDescent="0.25">
      <c r="A413" s="55" t="s">
        <v>663</v>
      </c>
      <c r="B413" s="58" t="s">
        <v>664</v>
      </c>
      <c r="C413" s="58" t="s">
        <v>665</v>
      </c>
      <c r="D413" s="17"/>
      <c r="E413" s="17"/>
      <c r="F413" s="18">
        <f>SUM(F414:F420)</f>
        <v>6095.4999999999991</v>
      </c>
      <c r="G413" s="18">
        <f>SUM(G414:G420)</f>
        <v>6190.2999999999993</v>
      </c>
      <c r="H413" s="18">
        <f>SUM(H414:H420)</f>
        <v>5876.9</v>
      </c>
      <c r="I413" s="18">
        <f>SUM(I414:I420)</f>
        <v>5822.9</v>
      </c>
      <c r="J413" s="17" t="s">
        <v>666</v>
      </c>
      <c r="K413" s="19" t="s">
        <v>255</v>
      </c>
      <c r="L413" s="19">
        <v>8</v>
      </c>
      <c r="M413" s="19">
        <v>8</v>
      </c>
      <c r="N413" s="43">
        <v>8</v>
      </c>
    </row>
    <row r="414" spans="1:14" ht="30" x14ac:dyDescent="0.25">
      <c r="A414" s="56"/>
      <c r="B414" s="59"/>
      <c r="C414" s="59"/>
      <c r="D414" s="20" t="s">
        <v>35</v>
      </c>
      <c r="E414" s="20"/>
      <c r="F414" s="21">
        <v>86.2</v>
      </c>
      <c r="G414" s="21">
        <v>86.2</v>
      </c>
      <c r="H414" s="21">
        <v>0</v>
      </c>
      <c r="I414" s="21">
        <v>0</v>
      </c>
      <c r="J414" s="20" t="s">
        <v>667</v>
      </c>
      <c r="K414" s="22" t="s">
        <v>255</v>
      </c>
      <c r="L414" s="46">
        <v>4450</v>
      </c>
      <c r="M414" s="46">
        <v>4450</v>
      </c>
      <c r="N414" s="47">
        <v>4450</v>
      </c>
    </row>
    <row r="415" spans="1:14" x14ac:dyDescent="0.25">
      <c r="A415" s="56"/>
      <c r="B415" s="59"/>
      <c r="C415" s="59"/>
      <c r="D415" s="20" t="s">
        <v>123</v>
      </c>
      <c r="E415" s="20"/>
      <c r="F415" s="21">
        <v>100.4</v>
      </c>
      <c r="G415" s="21">
        <v>118.7</v>
      </c>
      <c r="H415" s="21">
        <v>67.5</v>
      </c>
      <c r="I415" s="21">
        <v>57.1</v>
      </c>
      <c r="J415" s="20" t="s">
        <v>668</v>
      </c>
      <c r="K415" s="22" t="s">
        <v>255</v>
      </c>
      <c r="L415" s="22">
        <v>130</v>
      </c>
      <c r="M415" s="22">
        <v>130</v>
      </c>
      <c r="N415" s="44">
        <v>130</v>
      </c>
    </row>
    <row r="416" spans="1:14" x14ac:dyDescent="0.25">
      <c r="A416" s="56"/>
      <c r="B416" s="59"/>
      <c r="C416" s="59"/>
      <c r="D416" s="20" t="s">
        <v>128</v>
      </c>
      <c r="E416" s="20"/>
      <c r="F416" s="21">
        <v>341.2</v>
      </c>
      <c r="G416" s="21">
        <v>406.6</v>
      </c>
      <c r="H416" s="21">
        <v>352</v>
      </c>
      <c r="I416" s="21">
        <v>352</v>
      </c>
      <c r="J416" s="20"/>
      <c r="K416" s="22"/>
      <c r="L416" s="22"/>
      <c r="M416" s="22"/>
      <c r="N416" s="44"/>
    </row>
    <row r="417" spans="1:14" x14ac:dyDescent="0.25">
      <c r="A417" s="56"/>
      <c r="B417" s="59"/>
      <c r="C417" s="59"/>
      <c r="D417" s="20" t="s">
        <v>119</v>
      </c>
      <c r="E417" s="20"/>
      <c r="F417" s="21">
        <v>153.9</v>
      </c>
      <c r="G417" s="21">
        <v>256.39999999999998</v>
      </c>
      <c r="H417" s="21">
        <v>43.6</v>
      </c>
      <c r="I417" s="21"/>
      <c r="J417" s="20"/>
      <c r="K417" s="22"/>
      <c r="L417" s="22"/>
      <c r="M417" s="22"/>
      <c r="N417" s="44"/>
    </row>
    <row r="418" spans="1:14" x14ac:dyDescent="0.25">
      <c r="A418" s="56"/>
      <c r="B418" s="59"/>
      <c r="C418" s="59"/>
      <c r="D418" s="20" t="s">
        <v>30</v>
      </c>
      <c r="E418" s="20"/>
      <c r="F418" s="21">
        <v>5086.8999999999996</v>
      </c>
      <c r="G418" s="21">
        <v>4992.5</v>
      </c>
      <c r="H418" s="21">
        <v>5086.8999999999996</v>
      </c>
      <c r="I418" s="21">
        <v>5086.8999999999996</v>
      </c>
      <c r="J418" s="20"/>
      <c r="K418" s="22"/>
      <c r="L418" s="22"/>
      <c r="M418" s="22"/>
      <c r="N418" s="44"/>
    </row>
    <row r="419" spans="1:14" x14ac:dyDescent="0.25">
      <c r="A419" s="56"/>
      <c r="B419" s="59"/>
      <c r="C419" s="59"/>
      <c r="D419" s="20" t="s">
        <v>125</v>
      </c>
      <c r="E419" s="20"/>
      <c r="F419" s="21">
        <v>9</v>
      </c>
      <c r="G419" s="21">
        <v>12</v>
      </c>
      <c r="H419" s="21">
        <v>9</v>
      </c>
      <c r="I419" s="21">
        <v>9</v>
      </c>
      <c r="J419" s="20"/>
      <c r="K419" s="22"/>
      <c r="L419" s="22"/>
      <c r="M419" s="22"/>
      <c r="N419" s="44"/>
    </row>
    <row r="420" spans="1:14" ht="15.75" thickBot="1" x14ac:dyDescent="0.3">
      <c r="A420" s="57"/>
      <c r="B420" s="60"/>
      <c r="C420" s="60"/>
      <c r="D420" s="20" t="s">
        <v>641</v>
      </c>
      <c r="E420" s="20"/>
      <c r="F420" s="21">
        <v>317.89999999999998</v>
      </c>
      <c r="G420" s="21">
        <v>317.89999999999998</v>
      </c>
      <c r="H420" s="21">
        <v>317.89999999999998</v>
      </c>
      <c r="I420" s="21">
        <v>317.89999999999998</v>
      </c>
      <c r="J420" s="20"/>
      <c r="K420" s="22"/>
      <c r="L420" s="22"/>
      <c r="M420" s="22"/>
      <c r="N420" s="44"/>
    </row>
    <row r="421" spans="1:14" x14ac:dyDescent="0.25">
      <c r="A421" s="55" t="s">
        <v>669</v>
      </c>
      <c r="B421" s="58" t="s">
        <v>670</v>
      </c>
      <c r="C421" s="58" t="s">
        <v>586</v>
      </c>
      <c r="D421" s="17"/>
      <c r="E421" s="17"/>
      <c r="F421" s="18">
        <f>SUM(F422:F423)</f>
        <v>716.4</v>
      </c>
      <c r="G421" s="18">
        <f>SUM(G422:G423)</f>
        <v>720.4</v>
      </c>
      <c r="H421" s="18">
        <f>SUM(H422:H423)</f>
        <v>716.4</v>
      </c>
      <c r="I421" s="18">
        <f>SUM(I422:I423)</f>
        <v>716.4</v>
      </c>
      <c r="J421" s="17" t="s">
        <v>671</v>
      </c>
      <c r="K421" s="19" t="s">
        <v>255</v>
      </c>
      <c r="L421" s="19">
        <v>65</v>
      </c>
      <c r="M421" s="19">
        <v>65</v>
      </c>
      <c r="N421" s="43">
        <v>65</v>
      </c>
    </row>
    <row r="422" spans="1:14" x14ac:dyDescent="0.25">
      <c r="A422" s="56"/>
      <c r="B422" s="59"/>
      <c r="C422" s="59"/>
      <c r="D422" s="20" t="s">
        <v>121</v>
      </c>
      <c r="E422" s="20"/>
      <c r="F422" s="21">
        <v>716.4</v>
      </c>
      <c r="G422" s="21">
        <v>720.4</v>
      </c>
      <c r="H422" s="21">
        <v>716.4</v>
      </c>
      <c r="I422" s="21">
        <v>716.4</v>
      </c>
      <c r="J422" s="20" t="s">
        <v>672</v>
      </c>
      <c r="K422" s="22" t="s">
        <v>255</v>
      </c>
      <c r="L422" s="22">
        <v>45</v>
      </c>
      <c r="M422" s="22">
        <v>48</v>
      </c>
      <c r="N422" s="44">
        <v>48</v>
      </c>
    </row>
    <row r="423" spans="1:14" ht="45.75" thickBot="1" x14ac:dyDescent="0.3">
      <c r="A423" s="57"/>
      <c r="B423" s="60"/>
      <c r="C423" s="60"/>
      <c r="D423" s="20"/>
      <c r="E423" s="20"/>
      <c r="F423" s="21">
        <v>0</v>
      </c>
      <c r="G423" s="21">
        <v>0</v>
      </c>
      <c r="H423" s="21">
        <v>0</v>
      </c>
      <c r="I423" s="21">
        <v>0</v>
      </c>
      <c r="J423" s="20" t="s">
        <v>673</v>
      </c>
      <c r="K423" s="22" t="s">
        <v>255</v>
      </c>
      <c r="L423" s="46">
        <v>2000</v>
      </c>
      <c r="M423" s="46">
        <v>2000</v>
      </c>
      <c r="N423" s="47">
        <v>2000</v>
      </c>
    </row>
    <row r="424" spans="1:14" ht="45.75" thickBot="1" x14ac:dyDescent="0.3">
      <c r="A424" s="23" t="s">
        <v>674</v>
      </c>
      <c r="B424" s="24" t="s">
        <v>675</v>
      </c>
      <c r="C424" s="17" t="s">
        <v>586</v>
      </c>
      <c r="D424" s="17" t="s">
        <v>30</v>
      </c>
      <c r="E424" s="17"/>
      <c r="F424" s="25">
        <v>15</v>
      </c>
      <c r="G424" s="25">
        <v>10.7</v>
      </c>
      <c r="H424" s="25">
        <v>15</v>
      </c>
      <c r="I424" s="25">
        <v>15</v>
      </c>
      <c r="J424" s="17" t="s">
        <v>676</v>
      </c>
      <c r="K424" s="19" t="s">
        <v>255</v>
      </c>
      <c r="L424" s="19">
        <v>70</v>
      </c>
      <c r="M424" s="19">
        <v>70</v>
      </c>
      <c r="N424" s="43">
        <v>70</v>
      </c>
    </row>
    <row r="425" spans="1:14" x14ac:dyDescent="0.25">
      <c r="A425" s="55" t="s">
        <v>677</v>
      </c>
      <c r="B425" s="58" t="s">
        <v>678</v>
      </c>
      <c r="C425" s="58" t="s">
        <v>586</v>
      </c>
      <c r="D425" s="17"/>
      <c r="E425" s="17"/>
      <c r="F425" s="18">
        <f>SUM(F426:F433)+0.1</f>
        <v>27180</v>
      </c>
      <c r="G425" s="18">
        <f>SUM(G426:G433)</f>
        <v>27932.800000000003</v>
      </c>
      <c r="H425" s="18">
        <f>SUM(H426:H433)</f>
        <v>27052.3</v>
      </c>
      <c r="I425" s="18">
        <f>SUM(I426:I433)</f>
        <v>27053.3</v>
      </c>
      <c r="J425" s="17" t="s">
        <v>679</v>
      </c>
      <c r="K425" s="19" t="s">
        <v>255</v>
      </c>
      <c r="L425" s="19">
        <v>25</v>
      </c>
      <c r="M425" s="19">
        <v>25</v>
      </c>
      <c r="N425" s="43">
        <v>25</v>
      </c>
    </row>
    <row r="426" spans="1:14" x14ac:dyDescent="0.25">
      <c r="A426" s="56"/>
      <c r="B426" s="59"/>
      <c r="C426" s="59"/>
      <c r="D426" s="20" t="s">
        <v>641</v>
      </c>
      <c r="E426" s="20"/>
      <c r="F426" s="21">
        <v>10537.3</v>
      </c>
      <c r="G426" s="21">
        <v>10792.4</v>
      </c>
      <c r="H426" s="21">
        <v>10537.3</v>
      </c>
      <c r="I426" s="21">
        <v>10537.3</v>
      </c>
      <c r="J426" s="20" t="s">
        <v>680</v>
      </c>
      <c r="K426" s="22" t="s">
        <v>255</v>
      </c>
      <c r="L426" s="46">
        <v>4300</v>
      </c>
      <c r="M426" s="46">
        <v>4300</v>
      </c>
      <c r="N426" s="47">
        <v>4300</v>
      </c>
    </row>
    <row r="427" spans="1:14" x14ac:dyDescent="0.25">
      <c r="A427" s="56"/>
      <c r="B427" s="59"/>
      <c r="C427" s="59"/>
      <c r="D427" s="20" t="s">
        <v>121</v>
      </c>
      <c r="E427" s="20"/>
      <c r="F427" s="21">
        <v>3.5</v>
      </c>
      <c r="G427" s="21">
        <v>408.4</v>
      </c>
      <c r="H427" s="21">
        <v>0</v>
      </c>
      <c r="I427" s="21">
        <v>0</v>
      </c>
      <c r="J427" s="20" t="s">
        <v>681</v>
      </c>
      <c r="K427" s="22" t="s">
        <v>255</v>
      </c>
      <c r="L427" s="22">
        <v>2</v>
      </c>
      <c r="M427" s="22">
        <v>3</v>
      </c>
      <c r="N427" s="44">
        <v>3</v>
      </c>
    </row>
    <row r="428" spans="1:14" x14ac:dyDescent="0.25">
      <c r="A428" s="56"/>
      <c r="B428" s="59"/>
      <c r="C428" s="59"/>
      <c r="D428" s="20" t="s">
        <v>125</v>
      </c>
      <c r="E428" s="20"/>
      <c r="F428" s="21">
        <v>10</v>
      </c>
      <c r="G428" s="21">
        <v>370.4</v>
      </c>
      <c r="H428" s="21">
        <v>10</v>
      </c>
      <c r="I428" s="21">
        <v>10</v>
      </c>
      <c r="J428" s="20"/>
      <c r="K428" s="22"/>
      <c r="L428" s="22"/>
      <c r="M428" s="22"/>
      <c r="N428" s="44"/>
    </row>
    <row r="429" spans="1:14" x14ac:dyDescent="0.25">
      <c r="A429" s="56"/>
      <c r="B429" s="59"/>
      <c r="C429" s="59"/>
      <c r="D429" s="20" t="s">
        <v>123</v>
      </c>
      <c r="E429" s="20"/>
      <c r="F429" s="21">
        <v>85.1</v>
      </c>
      <c r="G429" s="21">
        <v>95.2</v>
      </c>
      <c r="H429" s="21">
        <v>54</v>
      </c>
      <c r="I429" s="21">
        <v>52.1</v>
      </c>
      <c r="J429" s="20"/>
      <c r="K429" s="22"/>
      <c r="L429" s="22"/>
      <c r="M429" s="22"/>
      <c r="N429" s="44"/>
    </row>
    <row r="430" spans="1:14" x14ac:dyDescent="0.25">
      <c r="A430" s="56"/>
      <c r="B430" s="59"/>
      <c r="C430" s="59"/>
      <c r="D430" s="20" t="s">
        <v>128</v>
      </c>
      <c r="E430" s="20"/>
      <c r="F430" s="21">
        <v>2909.5</v>
      </c>
      <c r="G430" s="21">
        <v>2993.8</v>
      </c>
      <c r="H430" s="21">
        <v>2928.1</v>
      </c>
      <c r="I430" s="21">
        <v>2931</v>
      </c>
      <c r="J430" s="20"/>
      <c r="K430" s="22"/>
      <c r="L430" s="22"/>
      <c r="M430" s="22"/>
      <c r="N430" s="44"/>
    </row>
    <row r="431" spans="1:14" x14ac:dyDescent="0.25">
      <c r="A431" s="56"/>
      <c r="B431" s="59"/>
      <c r="C431" s="59"/>
      <c r="D431" s="20" t="s">
        <v>35</v>
      </c>
      <c r="E431" s="20"/>
      <c r="F431" s="21">
        <v>100.1</v>
      </c>
      <c r="G431" s="21">
        <v>100.1</v>
      </c>
      <c r="H431" s="21"/>
      <c r="I431" s="21"/>
      <c r="J431" s="20"/>
      <c r="K431" s="22"/>
      <c r="L431" s="22"/>
      <c r="M431" s="22"/>
      <c r="N431" s="44"/>
    </row>
    <row r="432" spans="1:14" x14ac:dyDescent="0.25">
      <c r="A432" s="56"/>
      <c r="B432" s="59"/>
      <c r="C432" s="59"/>
      <c r="D432" s="20" t="s">
        <v>119</v>
      </c>
      <c r="E432" s="20"/>
      <c r="F432" s="21">
        <v>11.5</v>
      </c>
      <c r="G432" s="21">
        <v>67.3</v>
      </c>
      <c r="H432" s="21"/>
      <c r="I432" s="21"/>
      <c r="J432" s="20"/>
      <c r="K432" s="22"/>
      <c r="L432" s="22"/>
      <c r="M432" s="22"/>
      <c r="N432" s="44"/>
    </row>
    <row r="433" spans="1:14" ht="15.75" thickBot="1" x14ac:dyDescent="0.3">
      <c r="A433" s="57"/>
      <c r="B433" s="60"/>
      <c r="C433" s="60"/>
      <c r="D433" s="20" t="s">
        <v>30</v>
      </c>
      <c r="E433" s="20"/>
      <c r="F433" s="21">
        <v>13522.9</v>
      </c>
      <c r="G433" s="21">
        <v>13105.2</v>
      </c>
      <c r="H433" s="21">
        <v>13522.9</v>
      </c>
      <c r="I433" s="21">
        <v>13522.9</v>
      </c>
      <c r="J433" s="20"/>
      <c r="K433" s="22"/>
      <c r="L433" s="22"/>
      <c r="M433" s="22"/>
      <c r="N433" s="44"/>
    </row>
    <row r="434" spans="1:14" ht="30.75" thickBot="1" x14ac:dyDescent="0.3">
      <c r="A434" s="23" t="s">
        <v>682</v>
      </c>
      <c r="B434" s="24" t="s">
        <v>683</v>
      </c>
      <c r="C434" s="17" t="s">
        <v>586</v>
      </c>
      <c r="D434" s="17" t="s">
        <v>30</v>
      </c>
      <c r="E434" s="17"/>
      <c r="F434" s="25">
        <v>237.3</v>
      </c>
      <c r="G434" s="25">
        <v>303.10000000000002</v>
      </c>
      <c r="H434" s="25">
        <v>237.3</v>
      </c>
      <c r="I434" s="25">
        <v>237.3</v>
      </c>
      <c r="J434" s="17" t="s">
        <v>684</v>
      </c>
      <c r="K434" s="19" t="s">
        <v>255</v>
      </c>
      <c r="L434" s="19">
        <v>730</v>
      </c>
      <c r="M434" s="19">
        <v>730</v>
      </c>
      <c r="N434" s="43">
        <v>800</v>
      </c>
    </row>
    <row r="435" spans="1:14" ht="60.75" thickBot="1" x14ac:dyDescent="0.3">
      <c r="A435" s="23" t="s">
        <v>685</v>
      </c>
      <c r="B435" s="24" t="s">
        <v>686</v>
      </c>
      <c r="C435" s="17" t="s">
        <v>586</v>
      </c>
      <c r="D435" s="17" t="s">
        <v>30</v>
      </c>
      <c r="E435" s="17"/>
      <c r="F435" s="25">
        <v>256</v>
      </c>
      <c r="G435" s="25">
        <v>256</v>
      </c>
      <c r="H435" s="25">
        <v>246</v>
      </c>
      <c r="I435" s="25">
        <v>246</v>
      </c>
      <c r="J435" s="17" t="s">
        <v>687</v>
      </c>
      <c r="K435" s="19" t="s">
        <v>255</v>
      </c>
      <c r="L435" s="19">
        <v>310</v>
      </c>
      <c r="M435" s="19">
        <v>310</v>
      </c>
      <c r="N435" s="43">
        <v>310</v>
      </c>
    </row>
    <row r="436" spans="1:14" ht="25.5" customHeight="1" x14ac:dyDescent="0.25">
      <c r="A436" s="55" t="s">
        <v>688</v>
      </c>
      <c r="B436" s="58" t="s">
        <v>689</v>
      </c>
      <c r="C436" s="58" t="s">
        <v>586</v>
      </c>
      <c r="D436" s="17"/>
      <c r="E436" s="17"/>
      <c r="F436" s="18">
        <f>SUM(F437:F438)</f>
        <v>661.4</v>
      </c>
      <c r="G436" s="18">
        <f>SUM(G437:G438)</f>
        <v>683.4</v>
      </c>
      <c r="H436" s="18">
        <f>SUM(H437:H438)</f>
        <v>661.4</v>
      </c>
      <c r="I436" s="18">
        <f>SUM(I437:I438)</f>
        <v>661.4</v>
      </c>
      <c r="J436" s="17" t="s">
        <v>690</v>
      </c>
      <c r="K436" s="19" t="s">
        <v>255</v>
      </c>
      <c r="L436" s="19">
        <v>5</v>
      </c>
      <c r="M436" s="19">
        <v>5</v>
      </c>
      <c r="N436" s="43">
        <v>5</v>
      </c>
    </row>
    <row r="437" spans="1:14" x14ac:dyDescent="0.25">
      <c r="A437" s="56"/>
      <c r="B437" s="59"/>
      <c r="C437" s="59"/>
      <c r="D437" s="20" t="s">
        <v>121</v>
      </c>
      <c r="E437" s="20"/>
      <c r="F437" s="21">
        <v>0</v>
      </c>
      <c r="G437" s="21">
        <v>28.4</v>
      </c>
      <c r="H437" s="21">
        <v>0</v>
      </c>
      <c r="I437" s="21">
        <v>0</v>
      </c>
      <c r="J437" s="20"/>
      <c r="K437" s="22"/>
      <c r="L437" s="22"/>
      <c r="M437" s="22"/>
      <c r="N437" s="44"/>
    </row>
    <row r="438" spans="1:14" ht="15.75" thickBot="1" x14ac:dyDescent="0.3">
      <c r="A438" s="57"/>
      <c r="B438" s="60"/>
      <c r="C438" s="60"/>
      <c r="D438" s="20" t="s">
        <v>641</v>
      </c>
      <c r="E438" s="20"/>
      <c r="F438" s="21">
        <v>661.4</v>
      </c>
      <c r="G438" s="21">
        <v>655</v>
      </c>
      <c r="H438" s="21">
        <v>661.4</v>
      </c>
      <c r="I438" s="21">
        <v>661.4</v>
      </c>
      <c r="J438" s="20"/>
      <c r="K438" s="22"/>
      <c r="L438" s="22"/>
      <c r="M438" s="22"/>
      <c r="N438" s="44"/>
    </row>
    <row r="439" spans="1:14" ht="30.75" thickBot="1" x14ac:dyDescent="0.3">
      <c r="A439" s="23" t="s">
        <v>691</v>
      </c>
      <c r="B439" s="24" t="s">
        <v>692</v>
      </c>
      <c r="C439" s="17" t="s">
        <v>586</v>
      </c>
      <c r="D439" s="17" t="s">
        <v>30</v>
      </c>
      <c r="E439" s="17"/>
      <c r="F439" s="25">
        <v>129</v>
      </c>
      <c r="G439" s="25">
        <v>121.3</v>
      </c>
      <c r="H439" s="25">
        <v>129</v>
      </c>
      <c r="I439" s="25">
        <v>129</v>
      </c>
      <c r="J439" s="17" t="s">
        <v>693</v>
      </c>
      <c r="K439" s="19" t="s">
        <v>255</v>
      </c>
      <c r="L439" s="50">
        <v>1500</v>
      </c>
      <c r="M439" s="50">
        <v>1500</v>
      </c>
      <c r="N439" s="51">
        <v>1500</v>
      </c>
    </row>
    <row r="440" spans="1:14" ht="30.75" thickBot="1" x14ac:dyDescent="0.3">
      <c r="A440" s="23" t="s">
        <v>694</v>
      </c>
      <c r="B440" s="24" t="s">
        <v>695</v>
      </c>
      <c r="C440" s="17" t="s">
        <v>586</v>
      </c>
      <c r="D440" s="17" t="s">
        <v>30</v>
      </c>
      <c r="E440" s="17"/>
      <c r="F440" s="25">
        <v>300</v>
      </c>
      <c r="G440" s="25">
        <v>228.5</v>
      </c>
      <c r="H440" s="25">
        <v>300</v>
      </c>
      <c r="I440" s="25">
        <v>300</v>
      </c>
      <c r="J440" s="17" t="s">
        <v>696</v>
      </c>
      <c r="K440" s="19" t="s">
        <v>20</v>
      </c>
      <c r="L440" s="19">
        <v>100</v>
      </c>
      <c r="M440" s="19">
        <v>100</v>
      </c>
      <c r="N440" s="43">
        <v>100</v>
      </c>
    </row>
    <row r="441" spans="1:14" ht="27.75" customHeight="1" x14ac:dyDescent="0.25">
      <c r="A441" s="55" t="s">
        <v>697</v>
      </c>
      <c r="B441" s="58" t="s">
        <v>698</v>
      </c>
      <c r="C441" s="58" t="s">
        <v>586</v>
      </c>
      <c r="D441" s="17" t="s">
        <v>136</v>
      </c>
      <c r="E441" s="17"/>
      <c r="F441" s="18">
        <f>SUM(F442:F442)+281.1</f>
        <v>281.10000000000002</v>
      </c>
      <c r="G441" s="18">
        <f>SUM(G442:G442)+281.1</f>
        <v>281.10000000000002</v>
      </c>
      <c r="H441" s="18">
        <f>SUM(H442:H442)</f>
        <v>0</v>
      </c>
      <c r="I441" s="18">
        <f>SUM(I442:I442)</f>
        <v>0</v>
      </c>
      <c r="J441" s="17" t="s">
        <v>699</v>
      </c>
      <c r="K441" s="19" t="s">
        <v>255</v>
      </c>
      <c r="L441" s="19">
        <v>30</v>
      </c>
      <c r="M441" s="19"/>
      <c r="N441" s="43"/>
    </row>
    <row r="442" spans="1:14" ht="15.75" thickBot="1" x14ac:dyDescent="0.3">
      <c r="A442" s="57"/>
      <c r="B442" s="60"/>
      <c r="C442" s="60"/>
      <c r="D442" s="20"/>
      <c r="E442" s="20"/>
      <c r="F442" s="21">
        <v>0</v>
      </c>
      <c r="G442" s="21">
        <v>0</v>
      </c>
      <c r="H442" s="21">
        <v>0</v>
      </c>
      <c r="I442" s="21">
        <v>0</v>
      </c>
      <c r="J442" s="20" t="s">
        <v>700</v>
      </c>
      <c r="K442" s="22" t="s">
        <v>255</v>
      </c>
      <c r="L442" s="22">
        <v>17</v>
      </c>
      <c r="M442" s="22"/>
      <c r="N442" s="44"/>
    </row>
    <row r="443" spans="1:14" ht="45.75" thickBot="1" x14ac:dyDescent="0.3">
      <c r="A443" s="23" t="s">
        <v>701</v>
      </c>
      <c r="B443" s="24" t="s">
        <v>702</v>
      </c>
      <c r="C443" s="17" t="s">
        <v>586</v>
      </c>
      <c r="D443" s="17" t="s">
        <v>35</v>
      </c>
      <c r="E443" s="17"/>
      <c r="F443" s="25">
        <v>140</v>
      </c>
      <c r="G443" s="25">
        <v>140</v>
      </c>
      <c r="H443" s="25">
        <v>0</v>
      </c>
      <c r="I443" s="25">
        <v>0</v>
      </c>
      <c r="J443" s="17" t="s">
        <v>703</v>
      </c>
      <c r="K443" s="19" t="s">
        <v>255</v>
      </c>
      <c r="L443" s="19">
        <v>28</v>
      </c>
      <c r="M443" s="19"/>
      <c r="N443" s="43"/>
    </row>
    <row r="444" spans="1:14" ht="30" x14ac:dyDescent="0.25">
      <c r="A444" s="55" t="s">
        <v>704</v>
      </c>
      <c r="B444" s="58" t="s">
        <v>705</v>
      </c>
      <c r="C444" s="58" t="s">
        <v>706</v>
      </c>
      <c r="D444" s="17"/>
      <c r="E444" s="17"/>
      <c r="F444" s="18">
        <f>SUM(F445:F446)</f>
        <v>0</v>
      </c>
      <c r="G444" s="18">
        <f>SUM(G445:G446)</f>
        <v>21.1</v>
      </c>
      <c r="H444" s="18">
        <f>SUM(H445:H446)</f>
        <v>59.5</v>
      </c>
      <c r="I444" s="18">
        <f>SUM(I445:I446)</f>
        <v>39.799999999999997</v>
      </c>
      <c r="J444" s="17" t="s">
        <v>707</v>
      </c>
      <c r="K444" s="19" t="s">
        <v>255</v>
      </c>
      <c r="L444" s="19">
        <v>3</v>
      </c>
      <c r="M444" s="19">
        <v>3</v>
      </c>
      <c r="N444" s="43">
        <v>3</v>
      </c>
    </row>
    <row r="445" spans="1:14" x14ac:dyDescent="0.25">
      <c r="A445" s="56"/>
      <c r="B445" s="59"/>
      <c r="C445" s="59"/>
      <c r="D445" s="20" t="s">
        <v>30</v>
      </c>
      <c r="E445" s="20"/>
      <c r="F445" s="21">
        <v>0</v>
      </c>
      <c r="G445" s="21">
        <v>4.9000000000000004</v>
      </c>
      <c r="H445" s="21">
        <v>13.3</v>
      </c>
      <c r="I445" s="21">
        <v>9</v>
      </c>
      <c r="J445" s="20"/>
      <c r="K445" s="22"/>
      <c r="L445" s="22"/>
      <c r="M445" s="22"/>
      <c r="N445" s="44"/>
    </row>
    <row r="446" spans="1:14" ht="15.75" thickBot="1" x14ac:dyDescent="0.3">
      <c r="A446" s="57"/>
      <c r="B446" s="60"/>
      <c r="C446" s="60"/>
      <c r="D446" s="20" t="s">
        <v>136</v>
      </c>
      <c r="E446" s="20"/>
      <c r="F446" s="21">
        <v>0</v>
      </c>
      <c r="G446" s="21">
        <v>16.2</v>
      </c>
      <c r="H446" s="21">
        <v>46.2</v>
      </c>
      <c r="I446" s="21">
        <v>30.8</v>
      </c>
      <c r="J446" s="20"/>
      <c r="K446" s="22"/>
      <c r="L446" s="22"/>
      <c r="M446" s="22"/>
      <c r="N446" s="44"/>
    </row>
    <row r="447" spans="1:14" ht="15.75" thickBot="1" x14ac:dyDescent="0.3">
      <c r="A447" s="11" t="s">
        <v>708</v>
      </c>
      <c r="B447" s="93" t="s">
        <v>709</v>
      </c>
      <c r="C447" s="94"/>
      <c r="D447" s="94"/>
      <c r="E447" s="95"/>
      <c r="F447" s="12">
        <f>SUM(F448:F448)</f>
        <v>11295.699999999999</v>
      </c>
      <c r="G447" s="12">
        <f>SUM(G448:G448)</f>
        <v>11042.4</v>
      </c>
      <c r="H447" s="12">
        <f>SUM(H448:H448)</f>
        <v>11824.5</v>
      </c>
      <c r="I447" s="12">
        <f>SUM(I448:I448)</f>
        <v>11748.5</v>
      </c>
      <c r="J447" s="13" t="s">
        <v>710</v>
      </c>
      <c r="K447" s="14" t="s">
        <v>255</v>
      </c>
      <c r="L447" s="14">
        <v>2</v>
      </c>
      <c r="M447" s="14">
        <v>2</v>
      </c>
      <c r="N447" s="42">
        <v>2</v>
      </c>
    </row>
    <row r="448" spans="1:14" ht="26.25" customHeight="1" thickBot="1" x14ac:dyDescent="0.3">
      <c r="A448" s="15" t="s">
        <v>711</v>
      </c>
      <c r="B448" s="72" t="s">
        <v>712</v>
      </c>
      <c r="C448" s="73"/>
      <c r="D448" s="73"/>
      <c r="E448" s="74"/>
      <c r="F448" s="16">
        <f>F449+F451+F452+F457+F460+F461+F463+F469+F472+F477+F482+F486+F491+F492+F493+F495+F499+F503</f>
        <v>11295.699999999999</v>
      </c>
      <c r="G448" s="16">
        <f>G449+G451+G452+G457+G460+G461+G463+G469+G472+G477+G482+G486+G491+G492+G493+G495+G499+G503</f>
        <v>11042.4</v>
      </c>
      <c r="H448" s="16">
        <f>H449+H451+H452+H457+H460+H461+H463+H469+H472+H477+H482+H486+H491+H492+H493+H495+H499+H503</f>
        <v>11824.5</v>
      </c>
      <c r="I448" s="16">
        <f>I449+I451+I452+I457+I460+I461+I463+I469+I472+I477+I482+I486+I491+I492+I493+I495+I499+I503</f>
        <v>11748.5</v>
      </c>
      <c r="J448" s="61"/>
      <c r="K448" s="62"/>
      <c r="L448" s="62"/>
      <c r="M448" s="62"/>
      <c r="N448" s="63"/>
    </row>
    <row r="449" spans="1:14" x14ac:dyDescent="0.25">
      <c r="A449" s="55" t="s">
        <v>713</v>
      </c>
      <c r="B449" s="58" t="s">
        <v>714</v>
      </c>
      <c r="C449" s="58" t="s">
        <v>715</v>
      </c>
      <c r="D449" s="17" t="s">
        <v>30</v>
      </c>
      <c r="E449" s="17" t="s">
        <v>616</v>
      </c>
      <c r="F449" s="18">
        <f>SUM(F450:F450)</f>
        <v>0</v>
      </c>
      <c r="G449" s="18">
        <f>SUM(G450:G450)</f>
        <v>0</v>
      </c>
      <c r="H449" s="18">
        <f>SUM(H450:H450)+306</f>
        <v>306</v>
      </c>
      <c r="I449" s="18">
        <f>SUM(I450:I450)+599</f>
        <v>599</v>
      </c>
      <c r="J449" s="17" t="s">
        <v>716</v>
      </c>
      <c r="K449" s="19" t="s">
        <v>20</v>
      </c>
      <c r="L449" s="19"/>
      <c r="M449" s="19">
        <v>100</v>
      </c>
      <c r="N449" s="43"/>
    </row>
    <row r="450" spans="1:14" ht="15.75" thickBot="1" x14ac:dyDescent="0.3">
      <c r="A450" s="57"/>
      <c r="B450" s="60"/>
      <c r="C450" s="60"/>
      <c r="D450" s="20"/>
      <c r="E450" s="20"/>
      <c r="F450" s="21">
        <v>0</v>
      </c>
      <c r="G450" s="21">
        <v>0</v>
      </c>
      <c r="H450" s="21">
        <v>0</v>
      </c>
      <c r="I450" s="21">
        <v>0</v>
      </c>
      <c r="J450" s="20" t="s">
        <v>717</v>
      </c>
      <c r="K450" s="22" t="s">
        <v>20</v>
      </c>
      <c r="L450" s="22"/>
      <c r="M450" s="22">
        <v>50</v>
      </c>
      <c r="N450" s="44">
        <v>100</v>
      </c>
    </row>
    <row r="451" spans="1:14" ht="30.75" thickBot="1" x14ac:dyDescent="0.3">
      <c r="A451" s="23" t="s">
        <v>718</v>
      </c>
      <c r="B451" s="24" t="s">
        <v>719</v>
      </c>
      <c r="C451" s="17" t="s">
        <v>720</v>
      </c>
      <c r="D451" s="17" t="s">
        <v>30</v>
      </c>
      <c r="E451" s="17" t="s">
        <v>616</v>
      </c>
      <c r="F451" s="25">
        <v>0</v>
      </c>
      <c r="G451" s="25">
        <v>0</v>
      </c>
      <c r="H451" s="25">
        <v>500</v>
      </c>
      <c r="I451" s="25">
        <v>367.3</v>
      </c>
      <c r="J451" s="17" t="s">
        <v>721</v>
      </c>
      <c r="K451" s="19" t="s">
        <v>20</v>
      </c>
      <c r="L451" s="19"/>
      <c r="M451" s="19">
        <v>60</v>
      </c>
      <c r="N451" s="43">
        <v>100</v>
      </c>
    </row>
    <row r="452" spans="1:14" ht="30" x14ac:dyDescent="0.25">
      <c r="A452" s="55" t="s">
        <v>722</v>
      </c>
      <c r="B452" s="58" t="s">
        <v>723</v>
      </c>
      <c r="C452" s="58" t="s">
        <v>720</v>
      </c>
      <c r="D452" s="17"/>
      <c r="E452" s="17" t="s">
        <v>616</v>
      </c>
      <c r="F452" s="18">
        <f>SUM(F453:F456)</f>
        <v>1417.9</v>
      </c>
      <c r="G452" s="18">
        <f>SUM(G453:G456)</f>
        <v>1479.8</v>
      </c>
      <c r="H452" s="18">
        <f>SUM(H453:H456)</f>
        <v>644.20000000000005</v>
      </c>
      <c r="I452" s="18">
        <f>SUM(I453:I456)</f>
        <v>900</v>
      </c>
      <c r="J452" s="17" t="s">
        <v>724</v>
      </c>
      <c r="K452" s="19" t="s">
        <v>20</v>
      </c>
      <c r="L452" s="19">
        <v>100</v>
      </c>
      <c r="M452" s="19"/>
      <c r="N452" s="43"/>
    </row>
    <row r="453" spans="1:14" ht="30" x14ac:dyDescent="0.25">
      <c r="A453" s="56"/>
      <c r="B453" s="59"/>
      <c r="C453" s="59"/>
      <c r="D453" s="20" t="s">
        <v>35</v>
      </c>
      <c r="E453" s="20"/>
      <c r="F453" s="21">
        <v>423.7</v>
      </c>
      <c r="G453" s="21">
        <v>423.7</v>
      </c>
      <c r="H453" s="21">
        <v>0</v>
      </c>
      <c r="I453" s="21">
        <v>0</v>
      </c>
      <c r="J453" s="20" t="s">
        <v>725</v>
      </c>
      <c r="K453" s="22" t="s">
        <v>20</v>
      </c>
      <c r="L453" s="22">
        <v>10</v>
      </c>
      <c r="M453" s="22">
        <v>100</v>
      </c>
      <c r="N453" s="44"/>
    </row>
    <row r="454" spans="1:14" ht="30" x14ac:dyDescent="0.25">
      <c r="A454" s="56"/>
      <c r="B454" s="59"/>
      <c r="C454" s="59"/>
      <c r="D454" s="20" t="s">
        <v>30</v>
      </c>
      <c r="E454" s="20"/>
      <c r="F454" s="21">
        <v>994.2</v>
      </c>
      <c r="G454" s="21">
        <v>1056.0999999999999</v>
      </c>
      <c r="H454" s="21">
        <v>644.20000000000005</v>
      </c>
      <c r="I454" s="21">
        <v>900</v>
      </c>
      <c r="J454" s="20" t="s">
        <v>726</v>
      </c>
      <c r="K454" s="22" t="s">
        <v>20</v>
      </c>
      <c r="L454" s="22">
        <v>100</v>
      </c>
      <c r="M454" s="22"/>
      <c r="N454" s="44"/>
    </row>
    <row r="455" spans="1:14" ht="30" x14ac:dyDescent="0.25">
      <c r="A455" s="56"/>
      <c r="B455" s="59"/>
      <c r="C455" s="59"/>
      <c r="D455" s="20"/>
      <c r="E455" s="20"/>
      <c r="F455" s="21">
        <v>0</v>
      </c>
      <c r="G455" s="21">
        <v>0</v>
      </c>
      <c r="H455" s="21">
        <v>0</v>
      </c>
      <c r="I455" s="21">
        <v>0</v>
      </c>
      <c r="J455" s="20" t="s">
        <v>727</v>
      </c>
      <c r="K455" s="22" t="s">
        <v>20</v>
      </c>
      <c r="L455" s="22"/>
      <c r="M455" s="22"/>
      <c r="N455" s="44">
        <v>20</v>
      </c>
    </row>
    <row r="456" spans="1:14" ht="30.75" thickBot="1" x14ac:dyDescent="0.3">
      <c r="A456" s="57"/>
      <c r="B456" s="60"/>
      <c r="C456" s="60"/>
      <c r="D456" s="20"/>
      <c r="E456" s="20"/>
      <c r="F456" s="21">
        <v>0</v>
      </c>
      <c r="G456" s="21">
        <v>0</v>
      </c>
      <c r="H456" s="21">
        <v>0</v>
      </c>
      <c r="I456" s="21">
        <v>0</v>
      </c>
      <c r="J456" s="20" t="s">
        <v>728</v>
      </c>
      <c r="K456" s="22" t="s">
        <v>20</v>
      </c>
      <c r="L456" s="22"/>
      <c r="M456" s="22"/>
      <c r="N456" s="44">
        <v>20</v>
      </c>
    </row>
    <row r="457" spans="1:14" x14ac:dyDescent="0.25">
      <c r="A457" s="55" t="s">
        <v>729</v>
      </c>
      <c r="B457" s="58" t="s">
        <v>730</v>
      </c>
      <c r="C457" s="58" t="s">
        <v>715</v>
      </c>
      <c r="D457" s="17"/>
      <c r="E457" s="17"/>
      <c r="F457" s="18">
        <f>SUM(F458:F459)</f>
        <v>665</v>
      </c>
      <c r="G457" s="18">
        <f>SUM(G458:G459)</f>
        <v>582.20000000000005</v>
      </c>
      <c r="H457" s="18">
        <f>SUM(H458:H459)</f>
        <v>0</v>
      </c>
      <c r="I457" s="18">
        <f>SUM(I458:I459)</f>
        <v>0</v>
      </c>
      <c r="J457" s="17" t="s">
        <v>731</v>
      </c>
      <c r="K457" s="19" t="s">
        <v>20</v>
      </c>
      <c r="L457" s="19">
        <v>100</v>
      </c>
      <c r="M457" s="19"/>
      <c r="N457" s="43"/>
    </row>
    <row r="458" spans="1:14" x14ac:dyDescent="0.25">
      <c r="A458" s="56"/>
      <c r="B458" s="59"/>
      <c r="C458" s="59"/>
      <c r="D458" s="20" t="s">
        <v>551</v>
      </c>
      <c r="E458" s="20"/>
      <c r="F458" s="21">
        <v>415</v>
      </c>
      <c r="G458" s="21">
        <v>400</v>
      </c>
      <c r="H458" s="21">
        <v>0</v>
      </c>
      <c r="I458" s="21">
        <v>0</v>
      </c>
      <c r="J458" s="20"/>
      <c r="K458" s="22"/>
      <c r="L458" s="22"/>
      <c r="M458" s="22"/>
      <c r="N458" s="44"/>
    </row>
    <row r="459" spans="1:14" ht="15.75" thickBot="1" x14ac:dyDescent="0.3">
      <c r="A459" s="57"/>
      <c r="B459" s="60"/>
      <c r="C459" s="60"/>
      <c r="D459" s="20" t="s">
        <v>30</v>
      </c>
      <c r="E459" s="20"/>
      <c r="F459" s="21">
        <v>250</v>
      </c>
      <c r="G459" s="21">
        <v>182.2</v>
      </c>
      <c r="H459" s="21">
        <v>0</v>
      </c>
      <c r="I459" s="21">
        <v>0</v>
      </c>
      <c r="J459" s="20"/>
      <c r="K459" s="22"/>
      <c r="L459" s="22"/>
      <c r="M459" s="22"/>
      <c r="N459" s="44"/>
    </row>
    <row r="460" spans="1:14" ht="75.75" thickBot="1" x14ac:dyDescent="0.3">
      <c r="A460" s="23" t="s">
        <v>732</v>
      </c>
      <c r="B460" s="24" t="s">
        <v>733</v>
      </c>
      <c r="C460" s="17" t="s">
        <v>734</v>
      </c>
      <c r="D460" s="17" t="s">
        <v>30</v>
      </c>
      <c r="E460" s="17" t="s">
        <v>616</v>
      </c>
      <c r="F460" s="25">
        <v>118</v>
      </c>
      <c r="G460" s="25">
        <v>118</v>
      </c>
      <c r="H460" s="25">
        <v>218</v>
      </c>
      <c r="I460" s="25">
        <v>300</v>
      </c>
      <c r="J460" s="17" t="s">
        <v>735</v>
      </c>
      <c r="K460" s="19" t="s">
        <v>255</v>
      </c>
      <c r="L460" s="19">
        <v>1</v>
      </c>
      <c r="M460" s="19">
        <v>2</v>
      </c>
      <c r="N460" s="43">
        <v>2</v>
      </c>
    </row>
    <row r="461" spans="1:14" ht="45" x14ac:dyDescent="0.25">
      <c r="A461" s="55" t="s">
        <v>736</v>
      </c>
      <c r="B461" s="58" t="s">
        <v>737</v>
      </c>
      <c r="C461" s="58" t="s">
        <v>586</v>
      </c>
      <c r="D461" s="17" t="s">
        <v>30</v>
      </c>
      <c r="E461" s="17" t="s">
        <v>616</v>
      </c>
      <c r="F461" s="18">
        <f>SUM(F462:F462)+105</f>
        <v>105</v>
      </c>
      <c r="G461" s="18">
        <f>SUM(G462:G462)+105</f>
        <v>105</v>
      </c>
      <c r="H461" s="18">
        <f>SUM(H462:H462)+297.3</f>
        <v>297.3</v>
      </c>
      <c r="I461" s="18">
        <f>SUM(I462:I462)+300</f>
        <v>300</v>
      </c>
      <c r="J461" s="17" t="s">
        <v>738</v>
      </c>
      <c r="K461" s="19" t="s">
        <v>255</v>
      </c>
      <c r="L461" s="19">
        <v>5</v>
      </c>
      <c r="M461" s="19">
        <v>3</v>
      </c>
      <c r="N461" s="43"/>
    </row>
    <row r="462" spans="1:14" ht="45.75" thickBot="1" x14ac:dyDescent="0.3">
      <c r="A462" s="57"/>
      <c r="B462" s="60"/>
      <c r="C462" s="60"/>
      <c r="D462" s="20"/>
      <c r="E462" s="20"/>
      <c r="F462" s="21">
        <v>0</v>
      </c>
      <c r="G462" s="21">
        <v>0</v>
      </c>
      <c r="H462" s="21">
        <v>0</v>
      </c>
      <c r="I462" s="21">
        <v>0</v>
      </c>
      <c r="J462" s="20" t="s">
        <v>739</v>
      </c>
      <c r="K462" s="22" t="s">
        <v>255</v>
      </c>
      <c r="L462" s="22"/>
      <c r="M462" s="22">
        <v>2</v>
      </c>
      <c r="N462" s="44">
        <v>5</v>
      </c>
    </row>
    <row r="463" spans="1:14" ht="39" customHeight="1" x14ac:dyDescent="0.25">
      <c r="A463" s="55" t="s">
        <v>740</v>
      </c>
      <c r="B463" s="58" t="s">
        <v>741</v>
      </c>
      <c r="C463" s="58" t="s">
        <v>720</v>
      </c>
      <c r="D463" s="17"/>
      <c r="E463" s="17" t="s">
        <v>616</v>
      </c>
      <c r="F463" s="18">
        <f>SUM(F464:F468)</f>
        <v>1182</v>
      </c>
      <c r="G463" s="18">
        <f>SUM(G464:G468)</f>
        <v>1712.8999999999999</v>
      </c>
      <c r="H463" s="18">
        <f>SUM(H464:H468)</f>
        <v>1782</v>
      </c>
      <c r="I463" s="18">
        <f>SUM(I464:I468)</f>
        <v>1800</v>
      </c>
      <c r="J463" s="17" t="s">
        <v>742</v>
      </c>
      <c r="K463" s="19" t="s">
        <v>255</v>
      </c>
      <c r="L463" s="19">
        <v>2</v>
      </c>
      <c r="M463" s="19">
        <v>1</v>
      </c>
      <c r="N463" s="43">
        <v>2</v>
      </c>
    </row>
    <row r="464" spans="1:14" ht="30" x14ac:dyDescent="0.25">
      <c r="A464" s="56"/>
      <c r="B464" s="59"/>
      <c r="C464" s="59"/>
      <c r="D464" s="20" t="s">
        <v>30</v>
      </c>
      <c r="E464" s="20"/>
      <c r="F464" s="21">
        <v>1182</v>
      </c>
      <c r="G464" s="21">
        <v>1703.3</v>
      </c>
      <c r="H464" s="21">
        <v>1782</v>
      </c>
      <c r="I464" s="21">
        <v>1800</v>
      </c>
      <c r="J464" s="20" t="s">
        <v>743</v>
      </c>
      <c r="K464" s="22" t="s">
        <v>255</v>
      </c>
      <c r="L464" s="22">
        <v>1</v>
      </c>
      <c r="M464" s="22">
        <v>1</v>
      </c>
      <c r="N464" s="44">
        <v>1</v>
      </c>
    </row>
    <row r="465" spans="1:14" ht="30" x14ac:dyDescent="0.25">
      <c r="A465" s="56"/>
      <c r="B465" s="59"/>
      <c r="C465" s="59"/>
      <c r="D465" s="20" t="s">
        <v>35</v>
      </c>
      <c r="E465" s="20"/>
      <c r="F465" s="21">
        <v>0</v>
      </c>
      <c r="G465" s="21">
        <v>9.6</v>
      </c>
      <c r="H465" s="21">
        <v>0</v>
      </c>
      <c r="I465" s="21">
        <v>0</v>
      </c>
      <c r="J465" s="20" t="s">
        <v>744</v>
      </c>
      <c r="K465" s="22" t="s">
        <v>255</v>
      </c>
      <c r="L465" s="22">
        <v>1</v>
      </c>
      <c r="M465" s="22">
        <v>1</v>
      </c>
      <c r="N465" s="44">
        <v>1</v>
      </c>
    </row>
    <row r="466" spans="1:14" ht="60" x14ac:dyDescent="0.25">
      <c r="A466" s="56"/>
      <c r="B466" s="59"/>
      <c r="C466" s="59"/>
      <c r="D466" s="20"/>
      <c r="E466" s="20"/>
      <c r="F466" s="21">
        <v>0</v>
      </c>
      <c r="G466" s="21">
        <v>0</v>
      </c>
      <c r="H466" s="21">
        <v>0</v>
      </c>
      <c r="I466" s="21">
        <v>0</v>
      </c>
      <c r="J466" s="20" t="s">
        <v>745</v>
      </c>
      <c r="K466" s="22" t="s">
        <v>255</v>
      </c>
      <c r="L466" s="22">
        <v>1</v>
      </c>
      <c r="M466" s="22">
        <v>1</v>
      </c>
      <c r="N466" s="44">
        <v>2</v>
      </c>
    </row>
    <row r="467" spans="1:14" ht="80.25" customHeight="1" x14ac:dyDescent="0.25">
      <c r="A467" s="56"/>
      <c r="B467" s="59"/>
      <c r="C467" s="59"/>
      <c r="D467" s="20"/>
      <c r="E467" s="20"/>
      <c r="F467" s="21">
        <v>0</v>
      </c>
      <c r="G467" s="21">
        <v>0</v>
      </c>
      <c r="H467" s="21">
        <v>0</v>
      </c>
      <c r="I467" s="21">
        <v>0</v>
      </c>
      <c r="J467" s="20" t="s">
        <v>746</v>
      </c>
      <c r="K467" s="22" t="s">
        <v>255</v>
      </c>
      <c r="L467" s="22">
        <v>1</v>
      </c>
      <c r="M467" s="22">
        <v>1</v>
      </c>
      <c r="N467" s="44">
        <v>1</v>
      </c>
    </row>
    <row r="468" spans="1:14" ht="45.75" thickBot="1" x14ac:dyDescent="0.3">
      <c r="A468" s="57"/>
      <c r="B468" s="60"/>
      <c r="C468" s="60"/>
      <c r="D468" s="20"/>
      <c r="E468" s="20"/>
      <c r="F468" s="21">
        <v>0</v>
      </c>
      <c r="G468" s="21">
        <v>0</v>
      </c>
      <c r="H468" s="21">
        <v>0</v>
      </c>
      <c r="I468" s="21">
        <v>0</v>
      </c>
      <c r="J468" s="20" t="s">
        <v>747</v>
      </c>
      <c r="K468" s="22" t="s">
        <v>255</v>
      </c>
      <c r="L468" s="22">
        <v>4</v>
      </c>
      <c r="M468" s="22">
        <v>1</v>
      </c>
      <c r="N468" s="44">
        <v>1</v>
      </c>
    </row>
    <row r="469" spans="1:14" x14ac:dyDescent="0.25">
      <c r="A469" s="55" t="s">
        <v>748</v>
      </c>
      <c r="B469" s="58" t="s">
        <v>749</v>
      </c>
      <c r="C469" s="58" t="s">
        <v>720</v>
      </c>
      <c r="D469" s="17"/>
      <c r="E469" s="17" t="s">
        <v>616</v>
      </c>
      <c r="F469" s="18">
        <f>SUM(F470:F471)</f>
        <v>610</v>
      </c>
      <c r="G469" s="18">
        <f>SUM(G470:G471)</f>
        <v>610</v>
      </c>
      <c r="H469" s="18">
        <f>SUM(H470:H471)</f>
        <v>500</v>
      </c>
      <c r="I469" s="18">
        <f>SUM(I470:I471)</f>
        <v>0</v>
      </c>
      <c r="J469" s="17" t="s">
        <v>750</v>
      </c>
      <c r="K469" s="19" t="s">
        <v>20</v>
      </c>
      <c r="L469" s="19">
        <v>60</v>
      </c>
      <c r="M469" s="19">
        <v>100</v>
      </c>
      <c r="N469" s="43"/>
    </row>
    <row r="470" spans="1:14" x14ac:dyDescent="0.25">
      <c r="A470" s="56"/>
      <c r="B470" s="59"/>
      <c r="C470" s="59"/>
      <c r="D470" s="20" t="s">
        <v>35</v>
      </c>
      <c r="E470" s="20"/>
      <c r="F470" s="21">
        <v>610</v>
      </c>
      <c r="G470" s="21">
        <v>610</v>
      </c>
      <c r="H470" s="21">
        <v>0</v>
      </c>
      <c r="I470" s="21">
        <v>0</v>
      </c>
      <c r="J470" s="20"/>
      <c r="K470" s="22"/>
      <c r="L470" s="22"/>
      <c r="M470" s="22"/>
      <c r="N470" s="44"/>
    </row>
    <row r="471" spans="1:14" ht="15.75" thickBot="1" x14ac:dyDescent="0.3">
      <c r="A471" s="57"/>
      <c r="B471" s="60"/>
      <c r="C471" s="60"/>
      <c r="D471" s="20" t="s">
        <v>30</v>
      </c>
      <c r="E471" s="20"/>
      <c r="F471" s="21">
        <v>0</v>
      </c>
      <c r="G471" s="21">
        <v>0</v>
      </c>
      <c r="H471" s="21">
        <v>500</v>
      </c>
      <c r="I471" s="21">
        <v>0</v>
      </c>
      <c r="J471" s="20"/>
      <c r="K471" s="22"/>
      <c r="L471" s="22"/>
      <c r="M471" s="22"/>
      <c r="N471" s="44"/>
    </row>
    <row r="472" spans="1:14" ht="30" x14ac:dyDescent="0.25">
      <c r="A472" s="55" t="s">
        <v>751</v>
      </c>
      <c r="B472" s="58" t="s">
        <v>752</v>
      </c>
      <c r="C472" s="58" t="s">
        <v>715</v>
      </c>
      <c r="D472" s="17"/>
      <c r="E472" s="17"/>
      <c r="F472" s="18">
        <f>SUM(F473:F476)</f>
        <v>37.900000000000006</v>
      </c>
      <c r="G472" s="18">
        <f>SUM(G473:G476)</f>
        <v>38.000000000000007</v>
      </c>
      <c r="H472" s="18">
        <f>SUM(H473:H476)</f>
        <v>0</v>
      </c>
      <c r="I472" s="18">
        <f>SUM(I473:I476)</f>
        <v>0</v>
      </c>
      <c r="J472" s="17" t="s">
        <v>164</v>
      </c>
      <c r="K472" s="19" t="s">
        <v>24</v>
      </c>
      <c r="L472" s="19">
        <v>1</v>
      </c>
      <c r="M472" s="19"/>
      <c r="N472" s="43"/>
    </row>
    <row r="473" spans="1:14" x14ac:dyDescent="0.25">
      <c r="A473" s="56"/>
      <c r="B473" s="59"/>
      <c r="C473" s="59"/>
      <c r="D473" s="20" t="s">
        <v>136</v>
      </c>
      <c r="E473" s="20"/>
      <c r="F473" s="21">
        <v>33.700000000000003</v>
      </c>
      <c r="G473" s="21">
        <v>33.700000000000003</v>
      </c>
      <c r="H473" s="21">
        <v>0</v>
      </c>
      <c r="I473" s="21">
        <v>0</v>
      </c>
      <c r="J473" s="20" t="s">
        <v>753</v>
      </c>
      <c r="K473" s="22" t="s">
        <v>211</v>
      </c>
      <c r="L473" s="22">
        <v>2</v>
      </c>
      <c r="M473" s="22"/>
      <c r="N473" s="44"/>
    </row>
    <row r="474" spans="1:14" x14ac:dyDescent="0.25">
      <c r="A474" s="56"/>
      <c r="B474" s="59"/>
      <c r="C474" s="59"/>
      <c r="D474" s="20" t="s">
        <v>30</v>
      </c>
      <c r="E474" s="20"/>
      <c r="F474" s="21">
        <v>1.2</v>
      </c>
      <c r="G474" s="21">
        <v>1.2</v>
      </c>
      <c r="H474" s="21"/>
      <c r="I474" s="21"/>
      <c r="J474" s="20"/>
      <c r="K474" s="22"/>
      <c r="L474" s="22"/>
      <c r="M474" s="22"/>
      <c r="N474" s="44"/>
    </row>
    <row r="475" spans="1:14" x14ac:dyDescent="0.25">
      <c r="A475" s="56"/>
      <c r="B475" s="59"/>
      <c r="C475" s="59"/>
      <c r="D475" s="20" t="s">
        <v>121</v>
      </c>
      <c r="E475" s="20"/>
      <c r="F475" s="21">
        <v>3</v>
      </c>
      <c r="G475" s="21">
        <v>3</v>
      </c>
      <c r="H475" s="21"/>
      <c r="I475" s="21"/>
      <c r="J475" s="20"/>
      <c r="K475" s="22"/>
      <c r="L475" s="22"/>
      <c r="M475" s="22"/>
      <c r="N475" s="44"/>
    </row>
    <row r="476" spans="1:14" ht="15.75" thickBot="1" x14ac:dyDescent="0.3">
      <c r="A476" s="57"/>
      <c r="B476" s="60"/>
      <c r="C476" s="60"/>
      <c r="D476" s="20" t="s">
        <v>35</v>
      </c>
      <c r="E476" s="20"/>
      <c r="F476" s="21"/>
      <c r="G476" s="21">
        <v>0.1</v>
      </c>
      <c r="H476" s="21"/>
      <c r="I476" s="21"/>
      <c r="J476" s="20"/>
      <c r="K476" s="22"/>
      <c r="L476" s="22"/>
      <c r="M476" s="22"/>
      <c r="N476" s="44"/>
    </row>
    <row r="477" spans="1:14" ht="30" x14ac:dyDescent="0.25">
      <c r="A477" s="55" t="s">
        <v>754</v>
      </c>
      <c r="B477" s="58" t="s">
        <v>755</v>
      </c>
      <c r="C477" s="58" t="s">
        <v>715</v>
      </c>
      <c r="D477" s="17"/>
      <c r="E477" s="17"/>
      <c r="F477" s="18">
        <f>SUM(F478:F481)</f>
        <v>12.200000000000001</v>
      </c>
      <c r="G477" s="18">
        <f>SUM(G478:G481)</f>
        <v>75.5</v>
      </c>
      <c r="H477" s="18">
        <f>SUM(H478:H481)</f>
        <v>0</v>
      </c>
      <c r="I477" s="18">
        <f>SUM(I478:I481)</f>
        <v>0</v>
      </c>
      <c r="J477" s="17" t="s">
        <v>164</v>
      </c>
      <c r="K477" s="19" t="s">
        <v>24</v>
      </c>
      <c r="L477" s="19">
        <v>1</v>
      </c>
      <c r="M477" s="19"/>
      <c r="N477" s="43"/>
    </row>
    <row r="478" spans="1:14" x14ac:dyDescent="0.25">
      <c r="A478" s="56"/>
      <c r="B478" s="59"/>
      <c r="C478" s="59"/>
      <c r="D478" s="20" t="s">
        <v>136</v>
      </c>
      <c r="E478" s="20"/>
      <c r="F478" s="21">
        <v>8.3000000000000007</v>
      </c>
      <c r="G478" s="21">
        <v>31.4</v>
      </c>
      <c r="H478" s="21">
        <v>0</v>
      </c>
      <c r="I478" s="21">
        <v>0</v>
      </c>
      <c r="J478" s="20"/>
      <c r="K478" s="22"/>
      <c r="L478" s="22"/>
      <c r="M478" s="22"/>
      <c r="N478" s="44"/>
    </row>
    <row r="479" spans="1:14" x14ac:dyDescent="0.25">
      <c r="A479" s="56"/>
      <c r="B479" s="59"/>
      <c r="C479" s="59"/>
      <c r="D479" s="20" t="s">
        <v>35</v>
      </c>
      <c r="E479" s="20"/>
      <c r="F479" s="21">
        <v>3</v>
      </c>
      <c r="G479" s="21">
        <v>39</v>
      </c>
      <c r="H479" s="21">
        <v>0</v>
      </c>
      <c r="I479" s="21">
        <v>0</v>
      </c>
      <c r="J479" s="20"/>
      <c r="K479" s="22"/>
      <c r="L479" s="22"/>
      <c r="M479" s="22"/>
      <c r="N479" s="44"/>
    </row>
    <row r="480" spans="1:14" x14ac:dyDescent="0.25">
      <c r="A480" s="56"/>
      <c r="B480" s="59"/>
      <c r="C480" s="59"/>
      <c r="D480" s="20" t="s">
        <v>30</v>
      </c>
      <c r="E480" s="20"/>
      <c r="F480" s="21">
        <v>0</v>
      </c>
      <c r="G480" s="21">
        <v>2.1</v>
      </c>
      <c r="H480" s="21">
        <v>0</v>
      </c>
      <c r="I480" s="21">
        <v>0</v>
      </c>
      <c r="J480" s="20"/>
      <c r="K480" s="22"/>
      <c r="L480" s="22"/>
      <c r="M480" s="22"/>
      <c r="N480" s="44"/>
    </row>
    <row r="481" spans="1:14" ht="15.75" thickBot="1" x14ac:dyDescent="0.3">
      <c r="A481" s="57"/>
      <c r="B481" s="60"/>
      <c r="C481" s="60"/>
      <c r="D481" s="20" t="s">
        <v>121</v>
      </c>
      <c r="E481" s="20"/>
      <c r="F481" s="21">
        <v>0.9</v>
      </c>
      <c r="G481" s="21">
        <v>3</v>
      </c>
      <c r="H481" s="21">
        <v>0</v>
      </c>
      <c r="I481" s="21">
        <v>0</v>
      </c>
      <c r="J481" s="20"/>
      <c r="K481" s="22"/>
      <c r="L481" s="22"/>
      <c r="M481" s="22"/>
      <c r="N481" s="44"/>
    </row>
    <row r="482" spans="1:14" ht="81" customHeight="1" x14ac:dyDescent="0.25">
      <c r="A482" s="55" t="s">
        <v>756</v>
      </c>
      <c r="B482" s="58" t="s">
        <v>757</v>
      </c>
      <c r="C482" s="58" t="s">
        <v>758</v>
      </c>
      <c r="D482" s="17"/>
      <c r="E482" s="17"/>
      <c r="F482" s="18">
        <f>SUM(F483:F485)</f>
        <v>935</v>
      </c>
      <c r="G482" s="18">
        <f>SUM(G483:G485)</f>
        <v>640.29999999999995</v>
      </c>
      <c r="H482" s="18">
        <f>SUM(H483:H485)</f>
        <v>250</v>
      </c>
      <c r="I482" s="18">
        <f>SUM(I483:I485)</f>
        <v>300</v>
      </c>
      <c r="J482" s="17" t="s">
        <v>759</v>
      </c>
      <c r="K482" s="19" t="s">
        <v>255</v>
      </c>
      <c r="L482" s="19">
        <v>1</v>
      </c>
      <c r="M482" s="19">
        <v>1</v>
      </c>
      <c r="N482" s="43">
        <v>1</v>
      </c>
    </row>
    <row r="483" spans="1:14" ht="30" x14ac:dyDescent="0.25">
      <c r="A483" s="56"/>
      <c r="B483" s="59"/>
      <c r="C483" s="59"/>
      <c r="D483" s="20" t="s">
        <v>30</v>
      </c>
      <c r="E483" s="20"/>
      <c r="F483" s="21">
        <v>505.7</v>
      </c>
      <c r="G483" s="21">
        <v>135</v>
      </c>
      <c r="H483" s="21">
        <v>250</v>
      </c>
      <c r="I483" s="21">
        <v>300</v>
      </c>
      <c r="J483" s="20" t="s">
        <v>760</v>
      </c>
      <c r="K483" s="22" t="s">
        <v>255</v>
      </c>
      <c r="L483" s="22">
        <v>9</v>
      </c>
      <c r="M483" s="22"/>
      <c r="N483" s="44"/>
    </row>
    <row r="484" spans="1:14" x14ac:dyDescent="0.25">
      <c r="A484" s="56"/>
      <c r="B484" s="59"/>
      <c r="C484" s="59"/>
      <c r="D484" s="20" t="s">
        <v>121</v>
      </c>
      <c r="E484" s="20"/>
      <c r="F484" s="21">
        <v>0</v>
      </c>
      <c r="G484" s="21">
        <v>420.3</v>
      </c>
      <c r="H484" s="21">
        <v>0</v>
      </c>
      <c r="I484" s="21">
        <v>0</v>
      </c>
      <c r="J484" s="20" t="s">
        <v>761</v>
      </c>
      <c r="K484" s="22" t="s">
        <v>24</v>
      </c>
      <c r="L484" s="22">
        <v>10</v>
      </c>
      <c r="M484" s="22"/>
      <c r="N484" s="44"/>
    </row>
    <row r="485" spans="1:14" ht="15.75" thickBot="1" x14ac:dyDescent="0.3">
      <c r="A485" s="57"/>
      <c r="B485" s="60"/>
      <c r="C485" s="60"/>
      <c r="D485" s="20" t="s">
        <v>35</v>
      </c>
      <c r="E485" s="20"/>
      <c r="F485" s="21">
        <v>429.3</v>
      </c>
      <c r="G485" s="21">
        <v>85</v>
      </c>
      <c r="H485" s="21"/>
      <c r="I485" s="21"/>
      <c r="J485" s="20"/>
      <c r="K485" s="22"/>
      <c r="L485" s="22"/>
      <c r="M485" s="22"/>
      <c r="N485" s="44"/>
    </row>
    <row r="486" spans="1:14" ht="30" x14ac:dyDescent="0.25">
      <c r="A486" s="55" t="s">
        <v>762</v>
      </c>
      <c r="B486" s="58" t="s">
        <v>763</v>
      </c>
      <c r="C486" s="58" t="s">
        <v>764</v>
      </c>
      <c r="D486" s="17"/>
      <c r="E486" s="17"/>
      <c r="F486" s="18">
        <f>SUM(F487:F490)</f>
        <v>5735.1</v>
      </c>
      <c r="G486" s="18">
        <f>SUM(G487:G490)</f>
        <v>4188.3999999999996</v>
      </c>
      <c r="H486" s="18">
        <f>SUM(H487:H490)</f>
        <v>2682.9</v>
      </c>
      <c r="I486" s="18">
        <f>SUM(I487:I490)</f>
        <v>0</v>
      </c>
      <c r="J486" s="17" t="s">
        <v>765</v>
      </c>
      <c r="K486" s="19" t="s">
        <v>24</v>
      </c>
      <c r="L486" s="19">
        <v>6</v>
      </c>
      <c r="M486" s="19">
        <v>1</v>
      </c>
      <c r="N486" s="43"/>
    </row>
    <row r="487" spans="1:14" x14ac:dyDescent="0.25">
      <c r="A487" s="56"/>
      <c r="B487" s="59"/>
      <c r="C487" s="59"/>
      <c r="D487" s="20" t="s">
        <v>30</v>
      </c>
      <c r="E487" s="20"/>
      <c r="F487" s="21">
        <v>1618.7</v>
      </c>
      <c r="G487" s="21">
        <v>801.2</v>
      </c>
      <c r="H487" s="21">
        <v>2682.9</v>
      </c>
      <c r="I487" s="21">
        <v>0</v>
      </c>
      <c r="J487" s="20"/>
      <c r="K487" s="22"/>
      <c r="L487" s="22"/>
      <c r="M487" s="22"/>
      <c r="N487" s="44"/>
    </row>
    <row r="488" spans="1:14" x14ac:dyDescent="0.25">
      <c r="A488" s="56"/>
      <c r="B488" s="59"/>
      <c r="C488" s="59"/>
      <c r="D488" s="20" t="s">
        <v>121</v>
      </c>
      <c r="E488" s="20"/>
      <c r="F488" s="21">
        <v>845.1</v>
      </c>
      <c r="G488" s="21">
        <v>1148.8</v>
      </c>
      <c r="H488" s="21">
        <v>0</v>
      </c>
      <c r="I488" s="21">
        <v>0</v>
      </c>
      <c r="J488" s="20"/>
      <c r="K488" s="22"/>
      <c r="L488" s="22"/>
      <c r="M488" s="22"/>
      <c r="N488" s="44"/>
    </row>
    <row r="489" spans="1:14" x14ac:dyDescent="0.25">
      <c r="A489" s="56"/>
      <c r="B489" s="59"/>
      <c r="C489" s="59"/>
      <c r="D489" s="20" t="s">
        <v>144</v>
      </c>
      <c r="E489" s="20"/>
      <c r="F489" s="21">
        <v>3138.9</v>
      </c>
      <c r="G489" s="21">
        <v>2106</v>
      </c>
      <c r="H489" s="21">
        <v>0</v>
      </c>
      <c r="I489" s="21">
        <v>0</v>
      </c>
      <c r="J489" s="20"/>
      <c r="K489" s="22"/>
      <c r="L489" s="22"/>
      <c r="M489" s="22"/>
      <c r="N489" s="44"/>
    </row>
    <row r="490" spans="1:14" ht="15.75" thickBot="1" x14ac:dyDescent="0.3">
      <c r="A490" s="57"/>
      <c r="B490" s="60"/>
      <c r="C490" s="60"/>
      <c r="D490" s="20" t="s">
        <v>35</v>
      </c>
      <c r="E490" s="20"/>
      <c r="F490" s="21">
        <v>132.4</v>
      </c>
      <c r="G490" s="21">
        <v>132.4</v>
      </c>
      <c r="H490" s="21">
        <v>0</v>
      </c>
      <c r="I490" s="21">
        <v>0</v>
      </c>
      <c r="J490" s="20"/>
      <c r="K490" s="22"/>
      <c r="L490" s="22"/>
      <c r="M490" s="22"/>
      <c r="N490" s="44"/>
    </row>
    <row r="491" spans="1:14" ht="45.75" thickBot="1" x14ac:dyDescent="0.3">
      <c r="A491" s="23" t="s">
        <v>766</v>
      </c>
      <c r="B491" s="24" t="s">
        <v>767</v>
      </c>
      <c r="C491" s="17" t="s">
        <v>734</v>
      </c>
      <c r="D491" s="17" t="s">
        <v>30</v>
      </c>
      <c r="E491" s="17"/>
      <c r="F491" s="25">
        <v>80</v>
      </c>
      <c r="G491" s="25">
        <v>80</v>
      </c>
      <c r="H491" s="25">
        <v>80</v>
      </c>
      <c r="I491" s="25">
        <v>90</v>
      </c>
      <c r="J491" s="17" t="s">
        <v>768</v>
      </c>
      <c r="K491" s="19" t="s">
        <v>20</v>
      </c>
      <c r="L491" s="19">
        <v>100</v>
      </c>
      <c r="M491" s="19">
        <v>100</v>
      </c>
      <c r="N491" s="43">
        <v>100</v>
      </c>
    </row>
    <row r="492" spans="1:14" ht="93" customHeight="1" thickBot="1" x14ac:dyDescent="0.3">
      <c r="A492" s="23" t="s">
        <v>769</v>
      </c>
      <c r="B492" s="24" t="s">
        <v>770</v>
      </c>
      <c r="C492" s="17" t="s">
        <v>586</v>
      </c>
      <c r="D492" s="17" t="s">
        <v>30</v>
      </c>
      <c r="E492" s="17" t="s">
        <v>616</v>
      </c>
      <c r="F492" s="25">
        <v>200</v>
      </c>
      <c r="G492" s="25">
        <v>490</v>
      </c>
      <c r="H492" s="25">
        <v>200</v>
      </c>
      <c r="I492" s="25">
        <v>400</v>
      </c>
      <c r="J492" s="17" t="s">
        <v>771</v>
      </c>
      <c r="K492" s="19" t="s">
        <v>255</v>
      </c>
      <c r="L492" s="19">
        <v>1</v>
      </c>
      <c r="M492" s="19">
        <v>1</v>
      </c>
      <c r="N492" s="43">
        <v>1</v>
      </c>
    </row>
    <row r="493" spans="1:14" x14ac:dyDescent="0.25">
      <c r="A493" s="55" t="s">
        <v>772</v>
      </c>
      <c r="B493" s="58" t="s">
        <v>773</v>
      </c>
      <c r="C493" s="58" t="s">
        <v>774</v>
      </c>
      <c r="D493" s="17"/>
      <c r="E493" s="17" t="s">
        <v>616</v>
      </c>
      <c r="F493" s="18">
        <f>SUM(F494:F494)</f>
        <v>197.6</v>
      </c>
      <c r="G493" s="18">
        <f>SUM(G494:G494)</f>
        <v>197.6</v>
      </c>
      <c r="H493" s="18">
        <f>SUM(H494:H494)</f>
        <v>0</v>
      </c>
      <c r="I493" s="18">
        <f>SUM(I494:I494)</f>
        <v>0</v>
      </c>
      <c r="J493" s="17" t="s">
        <v>775</v>
      </c>
      <c r="K493" s="19" t="s">
        <v>24</v>
      </c>
      <c r="L493" s="19">
        <v>1</v>
      </c>
      <c r="M493" s="19"/>
      <c r="N493" s="43"/>
    </row>
    <row r="494" spans="1:14" ht="15.75" thickBot="1" x14ac:dyDescent="0.3">
      <c r="A494" s="57"/>
      <c r="B494" s="60"/>
      <c r="C494" s="60"/>
      <c r="D494" s="20" t="s">
        <v>35</v>
      </c>
      <c r="E494" s="20"/>
      <c r="F494" s="21">
        <v>197.6</v>
      </c>
      <c r="G494" s="21">
        <v>197.6</v>
      </c>
      <c r="H494" s="21">
        <v>0</v>
      </c>
      <c r="I494" s="21">
        <v>0</v>
      </c>
      <c r="J494" s="20"/>
      <c r="K494" s="22"/>
      <c r="L494" s="22"/>
      <c r="M494" s="22"/>
      <c r="N494" s="44"/>
    </row>
    <row r="495" spans="1:14" x14ac:dyDescent="0.25">
      <c r="A495" s="55" t="s">
        <v>776</v>
      </c>
      <c r="B495" s="58" t="s">
        <v>777</v>
      </c>
      <c r="C495" s="58" t="s">
        <v>715</v>
      </c>
      <c r="D495" s="17"/>
      <c r="E495" s="17" t="s">
        <v>616</v>
      </c>
      <c r="F495" s="18">
        <f>SUM(F496:F498)</f>
        <v>0</v>
      </c>
      <c r="G495" s="18">
        <f>SUM(G496:G498)</f>
        <v>0</v>
      </c>
      <c r="H495" s="18">
        <f>SUM(H496:H498)</f>
        <v>882.3</v>
      </c>
      <c r="I495" s="18">
        <f>SUM(I496:I498)</f>
        <v>882.5</v>
      </c>
      <c r="J495" s="17" t="s">
        <v>333</v>
      </c>
      <c r="K495" s="19" t="s">
        <v>20</v>
      </c>
      <c r="L495" s="19"/>
      <c r="M495" s="19">
        <v>30</v>
      </c>
      <c r="N495" s="43">
        <v>100</v>
      </c>
    </row>
    <row r="496" spans="1:14" x14ac:dyDescent="0.25">
      <c r="A496" s="56"/>
      <c r="B496" s="59"/>
      <c r="C496" s="59"/>
      <c r="D496" s="20" t="s">
        <v>30</v>
      </c>
      <c r="E496" s="20"/>
      <c r="F496" s="21">
        <v>0</v>
      </c>
      <c r="G496" s="21">
        <v>0</v>
      </c>
      <c r="H496" s="21">
        <v>77</v>
      </c>
      <c r="I496" s="21">
        <v>77.099999999999994</v>
      </c>
      <c r="J496" s="20" t="s">
        <v>753</v>
      </c>
      <c r="K496" s="22" t="s">
        <v>211</v>
      </c>
      <c r="L496" s="22"/>
      <c r="M496" s="22"/>
      <c r="N496" s="44">
        <v>10</v>
      </c>
    </row>
    <row r="497" spans="1:14" x14ac:dyDescent="0.25">
      <c r="A497" s="56"/>
      <c r="B497" s="59"/>
      <c r="C497" s="59"/>
      <c r="D497" s="20" t="s">
        <v>136</v>
      </c>
      <c r="E497" s="20"/>
      <c r="F497" s="21"/>
      <c r="G497" s="21"/>
      <c r="H497" s="21">
        <v>750</v>
      </c>
      <c r="I497" s="21">
        <v>750</v>
      </c>
      <c r="J497" s="20"/>
      <c r="K497" s="22"/>
      <c r="L497" s="22"/>
      <c r="M497" s="22"/>
      <c r="N497" s="44"/>
    </row>
    <row r="498" spans="1:14" ht="15.75" thickBot="1" x14ac:dyDescent="0.3">
      <c r="A498" s="57"/>
      <c r="B498" s="60"/>
      <c r="C498" s="60"/>
      <c r="D498" s="20" t="s">
        <v>121</v>
      </c>
      <c r="E498" s="20"/>
      <c r="F498" s="21"/>
      <c r="G498" s="21"/>
      <c r="H498" s="21">
        <v>55.3</v>
      </c>
      <c r="I498" s="21">
        <v>55.4</v>
      </c>
      <c r="J498" s="20"/>
      <c r="K498" s="22"/>
      <c r="L498" s="22"/>
      <c r="M498" s="22"/>
      <c r="N498" s="44"/>
    </row>
    <row r="499" spans="1:14" x14ac:dyDescent="0.25">
      <c r="A499" s="55" t="s">
        <v>778</v>
      </c>
      <c r="B499" s="58" t="s">
        <v>779</v>
      </c>
      <c r="C499" s="58" t="s">
        <v>715</v>
      </c>
      <c r="D499" s="17"/>
      <c r="E499" s="17" t="s">
        <v>616</v>
      </c>
      <c r="F499" s="18">
        <f>SUM(F500:F502)</f>
        <v>0</v>
      </c>
      <c r="G499" s="18">
        <f>SUM(G500:G502)</f>
        <v>0</v>
      </c>
      <c r="H499" s="18">
        <f>SUM(H500:H502)</f>
        <v>1176.5</v>
      </c>
      <c r="I499" s="18">
        <f>SUM(I500:I502)</f>
        <v>1764.6999999999998</v>
      </c>
      <c r="J499" s="17" t="s">
        <v>333</v>
      </c>
      <c r="K499" s="19" t="s">
        <v>20</v>
      </c>
      <c r="L499" s="19"/>
      <c r="M499" s="19">
        <v>50</v>
      </c>
      <c r="N499" s="43">
        <v>100</v>
      </c>
    </row>
    <row r="500" spans="1:14" x14ac:dyDescent="0.25">
      <c r="A500" s="56"/>
      <c r="B500" s="59"/>
      <c r="C500" s="59"/>
      <c r="D500" s="20" t="s">
        <v>136</v>
      </c>
      <c r="E500" s="20"/>
      <c r="F500" s="21">
        <v>0</v>
      </c>
      <c r="G500" s="21">
        <v>0</v>
      </c>
      <c r="H500" s="21">
        <v>1000</v>
      </c>
      <c r="I500" s="21">
        <v>1500</v>
      </c>
      <c r="J500" s="20" t="s">
        <v>753</v>
      </c>
      <c r="K500" s="22" t="s">
        <v>211</v>
      </c>
      <c r="L500" s="22"/>
      <c r="M500" s="22"/>
      <c r="N500" s="44">
        <v>1</v>
      </c>
    </row>
    <row r="501" spans="1:14" x14ac:dyDescent="0.25">
      <c r="A501" s="56"/>
      <c r="B501" s="59"/>
      <c r="C501" s="59"/>
      <c r="D501" s="20" t="s">
        <v>30</v>
      </c>
      <c r="E501" s="20"/>
      <c r="F501" s="21">
        <v>0</v>
      </c>
      <c r="G501" s="21">
        <v>0</v>
      </c>
      <c r="H501" s="21">
        <v>102.7</v>
      </c>
      <c r="I501" s="21">
        <v>154.1</v>
      </c>
      <c r="J501" s="20" t="s">
        <v>780</v>
      </c>
      <c r="K501" s="22" t="s">
        <v>255</v>
      </c>
      <c r="L501" s="22"/>
      <c r="M501" s="22"/>
      <c r="N501" s="44">
        <v>100</v>
      </c>
    </row>
    <row r="502" spans="1:14" ht="15.75" thickBot="1" x14ac:dyDescent="0.3">
      <c r="A502" s="57"/>
      <c r="B502" s="60"/>
      <c r="C502" s="60"/>
      <c r="D502" s="20" t="s">
        <v>121</v>
      </c>
      <c r="E502" s="20"/>
      <c r="F502" s="21"/>
      <c r="G502" s="21"/>
      <c r="H502" s="21">
        <v>73.8</v>
      </c>
      <c r="I502" s="21">
        <v>110.6</v>
      </c>
      <c r="J502" s="20"/>
      <c r="K502" s="22"/>
      <c r="L502" s="22"/>
      <c r="M502" s="22"/>
      <c r="N502" s="44"/>
    </row>
    <row r="503" spans="1:14" ht="60" x14ac:dyDescent="0.25">
      <c r="A503" s="55" t="s">
        <v>781</v>
      </c>
      <c r="B503" s="58" t="s">
        <v>782</v>
      </c>
      <c r="C503" s="58" t="s">
        <v>783</v>
      </c>
      <c r="D503" s="17"/>
      <c r="E503" s="17"/>
      <c r="F503" s="18">
        <f>SUM(F504:F508)</f>
        <v>0</v>
      </c>
      <c r="G503" s="18">
        <f>SUM(G504:G508)</f>
        <v>724.7</v>
      </c>
      <c r="H503" s="18">
        <f>SUM(H504:H508)</f>
        <v>2305.3000000000002</v>
      </c>
      <c r="I503" s="18">
        <f>SUM(I504:I508)</f>
        <v>4045</v>
      </c>
      <c r="J503" s="17" t="s">
        <v>784</v>
      </c>
      <c r="K503" s="19" t="s">
        <v>20</v>
      </c>
      <c r="L503" s="19">
        <v>25</v>
      </c>
      <c r="M503" s="19">
        <v>50</v>
      </c>
      <c r="N503" s="43">
        <v>100</v>
      </c>
    </row>
    <row r="504" spans="1:14" ht="45" x14ac:dyDescent="0.25">
      <c r="A504" s="56"/>
      <c r="B504" s="59"/>
      <c r="C504" s="59"/>
      <c r="D504" s="20" t="s">
        <v>121</v>
      </c>
      <c r="E504" s="20"/>
      <c r="F504" s="21">
        <v>0</v>
      </c>
      <c r="G504" s="21">
        <v>60</v>
      </c>
      <c r="H504" s="21">
        <v>420</v>
      </c>
      <c r="I504" s="21">
        <v>595</v>
      </c>
      <c r="J504" s="20" t="s">
        <v>785</v>
      </c>
      <c r="K504" s="22" t="s">
        <v>20</v>
      </c>
      <c r="L504" s="22">
        <v>25</v>
      </c>
      <c r="M504" s="22">
        <v>50</v>
      </c>
      <c r="N504" s="44">
        <v>100</v>
      </c>
    </row>
    <row r="505" spans="1:14" ht="45" x14ac:dyDescent="0.25">
      <c r="A505" s="56"/>
      <c r="B505" s="59"/>
      <c r="C505" s="59"/>
      <c r="D505" s="20" t="s">
        <v>136</v>
      </c>
      <c r="E505" s="20"/>
      <c r="F505" s="21">
        <v>0</v>
      </c>
      <c r="G505" s="21">
        <v>664.7</v>
      </c>
      <c r="H505" s="21">
        <v>1635.3</v>
      </c>
      <c r="I505" s="21">
        <v>3200</v>
      </c>
      <c r="J505" s="20" t="s">
        <v>786</v>
      </c>
      <c r="K505" s="22" t="s">
        <v>20</v>
      </c>
      <c r="L505" s="22"/>
      <c r="M505" s="22">
        <v>30</v>
      </c>
      <c r="N505" s="44">
        <v>100</v>
      </c>
    </row>
    <row r="506" spans="1:14" ht="45" x14ac:dyDescent="0.25">
      <c r="A506" s="56"/>
      <c r="B506" s="59"/>
      <c r="C506" s="59"/>
      <c r="D506" s="20" t="s">
        <v>30</v>
      </c>
      <c r="E506" s="20"/>
      <c r="F506" s="21">
        <v>0</v>
      </c>
      <c r="G506" s="21">
        <v>0</v>
      </c>
      <c r="H506" s="21">
        <v>250</v>
      </c>
      <c r="I506" s="21">
        <v>250</v>
      </c>
      <c r="J506" s="20" t="s">
        <v>787</v>
      </c>
      <c r="K506" s="22" t="s">
        <v>20</v>
      </c>
      <c r="L506" s="22"/>
      <c r="M506" s="22"/>
      <c r="N506" s="44">
        <v>86</v>
      </c>
    </row>
    <row r="507" spans="1:14" ht="45" x14ac:dyDescent="0.25">
      <c r="A507" s="56"/>
      <c r="B507" s="59"/>
      <c r="C507" s="59"/>
      <c r="D507" s="20"/>
      <c r="E507" s="20"/>
      <c r="F507" s="21">
        <v>0</v>
      </c>
      <c r="G507" s="21">
        <v>0</v>
      </c>
      <c r="H507" s="21">
        <v>0</v>
      </c>
      <c r="I507" s="21">
        <v>0</v>
      </c>
      <c r="J507" s="20" t="s">
        <v>788</v>
      </c>
      <c r="K507" s="22" t="s">
        <v>20</v>
      </c>
      <c r="L507" s="22"/>
      <c r="M507" s="22"/>
      <c r="N507" s="44">
        <v>75</v>
      </c>
    </row>
    <row r="508" spans="1:14" ht="75.75" thickBot="1" x14ac:dyDescent="0.3">
      <c r="A508" s="57"/>
      <c r="B508" s="60"/>
      <c r="C508" s="60"/>
      <c r="D508" s="20"/>
      <c r="E508" s="20"/>
      <c r="F508" s="21">
        <v>0</v>
      </c>
      <c r="G508" s="21">
        <v>0</v>
      </c>
      <c r="H508" s="21">
        <v>0</v>
      </c>
      <c r="I508" s="21">
        <v>0</v>
      </c>
      <c r="J508" s="20" t="s">
        <v>789</v>
      </c>
      <c r="K508" s="22" t="s">
        <v>20</v>
      </c>
      <c r="L508" s="22"/>
      <c r="M508" s="22"/>
      <c r="N508" s="44">
        <v>100</v>
      </c>
    </row>
    <row r="509" spans="1:14" ht="30.75" thickBot="1" x14ac:dyDescent="0.3">
      <c r="A509" s="8" t="s">
        <v>790</v>
      </c>
      <c r="B509" s="9" t="s">
        <v>791</v>
      </c>
      <c r="C509" s="87" t="s">
        <v>792</v>
      </c>
      <c r="D509" s="88"/>
      <c r="E509" s="89"/>
      <c r="F509" s="10">
        <f>SUM(F510:F510)</f>
        <v>3939.2</v>
      </c>
      <c r="G509" s="10">
        <f>SUM(G510:G510)</f>
        <v>3425.2000000000003</v>
      </c>
      <c r="H509" s="10">
        <f>SUM(H510:H510)</f>
        <v>2956.5</v>
      </c>
      <c r="I509" s="10">
        <f>SUM(I510:I510)</f>
        <v>2600.4</v>
      </c>
      <c r="J509" s="90"/>
      <c r="K509" s="91"/>
      <c r="L509" s="91"/>
      <c r="M509" s="91"/>
      <c r="N509" s="92"/>
    </row>
    <row r="510" spans="1:14" ht="30.75" thickBot="1" x14ac:dyDescent="0.3">
      <c r="A510" s="11" t="s">
        <v>793</v>
      </c>
      <c r="B510" s="93" t="s">
        <v>794</v>
      </c>
      <c r="C510" s="94"/>
      <c r="D510" s="94"/>
      <c r="E510" s="95"/>
      <c r="F510" s="12">
        <f>F511+F524+F539</f>
        <v>3939.2</v>
      </c>
      <c r="G510" s="12">
        <f>G511+G524+G539</f>
        <v>3425.2000000000003</v>
      </c>
      <c r="H510" s="12">
        <f>H511+H524+H539</f>
        <v>2956.5</v>
      </c>
      <c r="I510" s="12">
        <f>I511+I524+I539</f>
        <v>2600.4</v>
      </c>
      <c r="J510" s="13" t="s">
        <v>795</v>
      </c>
      <c r="K510" s="14" t="s">
        <v>20</v>
      </c>
      <c r="L510" s="14">
        <v>1</v>
      </c>
      <c r="M510" s="14">
        <v>1</v>
      </c>
      <c r="N510" s="42">
        <v>1</v>
      </c>
    </row>
    <row r="511" spans="1:14" ht="26.25" customHeight="1" thickBot="1" x14ac:dyDescent="0.3">
      <c r="A511" s="15" t="s">
        <v>796</v>
      </c>
      <c r="B511" s="72" t="s">
        <v>797</v>
      </c>
      <c r="C511" s="73"/>
      <c r="D511" s="73"/>
      <c r="E511" s="74"/>
      <c r="F511" s="16">
        <f>F512+F513+F518+F521</f>
        <v>1846.5</v>
      </c>
      <c r="G511" s="16">
        <f>G512+G513+G518+G521</f>
        <v>1274.3</v>
      </c>
      <c r="H511" s="16">
        <f>H512+H513+H518+H521</f>
        <v>1016.1</v>
      </c>
      <c r="I511" s="16">
        <f>I512+I513+I518+I521</f>
        <v>660</v>
      </c>
      <c r="J511" s="61"/>
      <c r="K511" s="62"/>
      <c r="L511" s="62"/>
      <c r="M511" s="62"/>
      <c r="N511" s="63"/>
    </row>
    <row r="512" spans="1:14" ht="45.75" thickBot="1" x14ac:dyDescent="0.3">
      <c r="A512" s="23" t="s">
        <v>798</v>
      </c>
      <c r="B512" s="24" t="s">
        <v>799</v>
      </c>
      <c r="C512" s="17" t="s">
        <v>800</v>
      </c>
      <c r="D512" s="17" t="s">
        <v>30</v>
      </c>
      <c r="E512" s="17"/>
      <c r="F512" s="25">
        <v>148.69999999999999</v>
      </c>
      <c r="G512" s="25">
        <v>148.69999999999999</v>
      </c>
      <c r="H512" s="25">
        <v>0</v>
      </c>
      <c r="I512" s="25">
        <v>0</v>
      </c>
      <c r="J512" s="17" t="s">
        <v>801</v>
      </c>
      <c r="K512" s="19" t="s">
        <v>20</v>
      </c>
      <c r="L512" s="19">
        <v>100</v>
      </c>
      <c r="M512" s="19"/>
      <c r="N512" s="43"/>
    </row>
    <row r="513" spans="1:14" ht="30" x14ac:dyDescent="0.25">
      <c r="A513" s="55" t="s">
        <v>802</v>
      </c>
      <c r="B513" s="58" t="s">
        <v>803</v>
      </c>
      <c r="C513" s="58" t="s">
        <v>804</v>
      </c>
      <c r="D513" s="17"/>
      <c r="E513" s="17"/>
      <c r="F513" s="18">
        <f>SUM(F514:F517)</f>
        <v>1046.9000000000001</v>
      </c>
      <c r="G513" s="18">
        <f>SUM(G514:G517)</f>
        <v>474.7</v>
      </c>
      <c r="H513" s="18">
        <f>SUM(H514:H517)</f>
        <v>443.1</v>
      </c>
      <c r="I513" s="18">
        <f>SUM(I514:I517)</f>
        <v>0</v>
      </c>
      <c r="J513" s="17" t="s">
        <v>765</v>
      </c>
      <c r="K513" s="19" t="s">
        <v>24</v>
      </c>
      <c r="L513" s="19">
        <v>1</v>
      </c>
      <c r="M513" s="19"/>
      <c r="N513" s="43"/>
    </row>
    <row r="514" spans="1:14" ht="30" x14ac:dyDescent="0.25">
      <c r="A514" s="56"/>
      <c r="B514" s="59"/>
      <c r="C514" s="59"/>
      <c r="D514" s="20" t="s">
        <v>30</v>
      </c>
      <c r="E514" s="20"/>
      <c r="F514" s="21">
        <v>341.3</v>
      </c>
      <c r="G514" s="21">
        <v>185</v>
      </c>
      <c r="H514" s="21">
        <v>443.1</v>
      </c>
      <c r="I514" s="21">
        <v>0</v>
      </c>
      <c r="J514" s="20" t="s">
        <v>805</v>
      </c>
      <c r="K514" s="22" t="s">
        <v>24</v>
      </c>
      <c r="L514" s="22">
        <v>1</v>
      </c>
      <c r="M514" s="22"/>
      <c r="N514" s="44"/>
    </row>
    <row r="515" spans="1:14" x14ac:dyDescent="0.25">
      <c r="A515" s="56"/>
      <c r="B515" s="59"/>
      <c r="C515" s="59"/>
      <c r="D515" s="20" t="s">
        <v>144</v>
      </c>
      <c r="E515" s="20"/>
      <c r="F515" s="21">
        <v>515.9</v>
      </c>
      <c r="G515" s="21">
        <v>100</v>
      </c>
      <c r="H515" s="21">
        <v>0</v>
      </c>
      <c r="I515" s="21">
        <v>0</v>
      </c>
      <c r="J515" s="20" t="s">
        <v>806</v>
      </c>
      <c r="K515" s="22" t="s">
        <v>24</v>
      </c>
      <c r="L515" s="22">
        <v>1</v>
      </c>
      <c r="M515" s="22"/>
      <c r="N515" s="44"/>
    </row>
    <row r="516" spans="1:14" x14ac:dyDescent="0.25">
      <c r="A516" s="56"/>
      <c r="B516" s="59"/>
      <c r="C516" s="59"/>
      <c r="D516" s="20" t="s">
        <v>121</v>
      </c>
      <c r="E516" s="20"/>
      <c r="F516" s="21">
        <v>154.80000000000001</v>
      </c>
      <c r="G516" s="21">
        <v>154.80000000000001</v>
      </c>
      <c r="H516" s="21"/>
      <c r="I516" s="21"/>
      <c r="J516" s="20"/>
      <c r="K516" s="22"/>
      <c r="L516" s="22"/>
      <c r="M516" s="22"/>
      <c r="N516" s="44"/>
    </row>
    <row r="517" spans="1:14" ht="15.75" thickBot="1" x14ac:dyDescent="0.3">
      <c r="A517" s="57"/>
      <c r="B517" s="60"/>
      <c r="C517" s="60"/>
      <c r="D517" s="20" t="s">
        <v>35</v>
      </c>
      <c r="E517" s="20"/>
      <c r="F517" s="21">
        <v>34.9</v>
      </c>
      <c r="G517" s="21">
        <v>34.9</v>
      </c>
      <c r="H517" s="21"/>
      <c r="I517" s="21"/>
      <c r="J517" s="20"/>
      <c r="K517" s="22"/>
      <c r="L517" s="22"/>
      <c r="M517" s="22"/>
      <c r="N517" s="44"/>
    </row>
    <row r="518" spans="1:14" ht="64.5" customHeight="1" x14ac:dyDescent="0.25">
      <c r="A518" s="55" t="s">
        <v>807</v>
      </c>
      <c r="B518" s="58" t="s">
        <v>808</v>
      </c>
      <c r="C518" s="58" t="s">
        <v>809</v>
      </c>
      <c r="D518" s="17"/>
      <c r="E518" s="17"/>
      <c r="F518" s="18">
        <f>SUM(F519:F520)</f>
        <v>360.9</v>
      </c>
      <c r="G518" s="18">
        <f>SUM(G519:G520)</f>
        <v>360.9</v>
      </c>
      <c r="H518" s="18">
        <f>SUM(H519:H520)</f>
        <v>338</v>
      </c>
      <c r="I518" s="18">
        <f>SUM(I519:I520)</f>
        <v>360</v>
      </c>
      <c r="J518" s="17" t="s">
        <v>810</v>
      </c>
      <c r="K518" s="19" t="s">
        <v>20</v>
      </c>
      <c r="L518" s="19">
        <v>35</v>
      </c>
      <c r="M518" s="19">
        <v>70</v>
      </c>
      <c r="N518" s="43">
        <v>100</v>
      </c>
    </row>
    <row r="519" spans="1:14" x14ac:dyDescent="0.25">
      <c r="A519" s="56"/>
      <c r="B519" s="59"/>
      <c r="C519" s="59"/>
      <c r="D519" s="20" t="s">
        <v>30</v>
      </c>
      <c r="E519" s="20"/>
      <c r="F519" s="21">
        <v>310</v>
      </c>
      <c r="G519" s="21">
        <v>310</v>
      </c>
      <c r="H519" s="21">
        <v>338</v>
      </c>
      <c r="I519" s="21">
        <v>360</v>
      </c>
      <c r="J519" s="20"/>
      <c r="K519" s="22"/>
      <c r="L519" s="22"/>
      <c r="M519" s="22"/>
      <c r="N519" s="44"/>
    </row>
    <row r="520" spans="1:14" ht="15.75" thickBot="1" x14ac:dyDescent="0.3">
      <c r="A520" s="57"/>
      <c r="B520" s="60"/>
      <c r="C520" s="60"/>
      <c r="D520" s="20" t="s">
        <v>35</v>
      </c>
      <c r="E520" s="20"/>
      <c r="F520" s="21">
        <v>50.9</v>
      </c>
      <c r="G520" s="21">
        <v>50.9</v>
      </c>
      <c r="H520" s="21">
        <v>0</v>
      </c>
      <c r="I520" s="21">
        <v>0</v>
      </c>
      <c r="J520" s="20"/>
      <c r="K520" s="22"/>
      <c r="L520" s="22"/>
      <c r="M520" s="22"/>
      <c r="N520" s="44"/>
    </row>
    <row r="521" spans="1:14" ht="30" x14ac:dyDescent="0.25">
      <c r="A521" s="55" t="s">
        <v>811</v>
      </c>
      <c r="B521" s="58" t="s">
        <v>812</v>
      </c>
      <c r="C521" s="58" t="s">
        <v>813</v>
      </c>
      <c r="D521" s="17"/>
      <c r="E521" s="17"/>
      <c r="F521" s="18">
        <f>SUM(F522:F523)</f>
        <v>290</v>
      </c>
      <c r="G521" s="18">
        <f>SUM(G522:G523)</f>
        <v>290</v>
      </c>
      <c r="H521" s="18">
        <f>SUM(H522:H523)</f>
        <v>235</v>
      </c>
      <c r="I521" s="18">
        <f>SUM(I522:I523)</f>
        <v>300</v>
      </c>
      <c r="J521" s="17" t="s">
        <v>814</v>
      </c>
      <c r="K521" s="19" t="s">
        <v>20</v>
      </c>
      <c r="L521" s="19">
        <v>100</v>
      </c>
      <c r="M521" s="19"/>
      <c r="N521" s="43"/>
    </row>
    <row r="522" spans="1:14" ht="30" x14ac:dyDescent="0.25">
      <c r="A522" s="56"/>
      <c r="B522" s="59"/>
      <c r="C522" s="59"/>
      <c r="D522" s="20" t="s">
        <v>35</v>
      </c>
      <c r="E522" s="20"/>
      <c r="F522" s="21">
        <v>130</v>
      </c>
      <c r="G522" s="21">
        <v>130</v>
      </c>
      <c r="H522" s="21">
        <v>0</v>
      </c>
      <c r="I522" s="21">
        <v>0</v>
      </c>
      <c r="J522" s="20" t="s">
        <v>815</v>
      </c>
      <c r="K522" s="22" t="s">
        <v>20</v>
      </c>
      <c r="L522" s="22"/>
      <c r="M522" s="22">
        <v>100</v>
      </c>
      <c r="N522" s="44"/>
    </row>
    <row r="523" spans="1:14" ht="30.75" thickBot="1" x14ac:dyDescent="0.3">
      <c r="A523" s="57"/>
      <c r="B523" s="60"/>
      <c r="C523" s="60"/>
      <c r="D523" s="20" t="s">
        <v>30</v>
      </c>
      <c r="E523" s="20"/>
      <c r="F523" s="21">
        <v>160</v>
      </c>
      <c r="G523" s="21">
        <v>160</v>
      </c>
      <c r="H523" s="21">
        <v>235</v>
      </c>
      <c r="I523" s="21">
        <v>300</v>
      </c>
      <c r="J523" s="20" t="s">
        <v>816</v>
      </c>
      <c r="K523" s="22" t="s">
        <v>20</v>
      </c>
      <c r="L523" s="22"/>
      <c r="M523" s="22"/>
      <c r="N523" s="44">
        <v>100</v>
      </c>
    </row>
    <row r="524" spans="1:14" ht="27.75" customHeight="1" thickBot="1" x14ac:dyDescent="0.3">
      <c r="A524" s="15" t="s">
        <v>817</v>
      </c>
      <c r="B524" s="72" t="s">
        <v>818</v>
      </c>
      <c r="C524" s="73"/>
      <c r="D524" s="73"/>
      <c r="E524" s="74"/>
      <c r="F524" s="16">
        <f>F525+F531+F536</f>
        <v>1475.5000000000002</v>
      </c>
      <c r="G524" s="16">
        <f>G525+G531+G536</f>
        <v>1494.5</v>
      </c>
      <c r="H524" s="16">
        <f>H525+H531+H536</f>
        <v>1474.4</v>
      </c>
      <c r="I524" s="16">
        <f>I525+I531+I536</f>
        <v>1474.4</v>
      </c>
      <c r="J524" s="61"/>
      <c r="K524" s="62"/>
      <c r="L524" s="62"/>
      <c r="M524" s="62"/>
      <c r="N524" s="63"/>
    </row>
    <row r="525" spans="1:14" x14ac:dyDescent="0.25">
      <c r="A525" s="55" t="s">
        <v>819</v>
      </c>
      <c r="B525" s="100" t="s">
        <v>820</v>
      </c>
      <c r="C525" s="58" t="s">
        <v>821</v>
      </c>
      <c r="D525" s="17"/>
      <c r="E525" s="17"/>
      <c r="F525" s="18">
        <f>SUM(F526:F530)</f>
        <v>151.10000000000002</v>
      </c>
      <c r="G525" s="18">
        <f>SUM(G526:G530)</f>
        <v>156.29999999999998</v>
      </c>
      <c r="H525" s="18">
        <f>SUM(H526:H530)</f>
        <v>150</v>
      </c>
      <c r="I525" s="18">
        <f>SUM(I526:I530)</f>
        <v>150</v>
      </c>
      <c r="J525" s="17" t="s">
        <v>822</v>
      </c>
      <c r="K525" s="19" t="s">
        <v>255</v>
      </c>
      <c r="L525" s="19">
        <v>200</v>
      </c>
      <c r="M525" s="19">
        <v>200</v>
      </c>
      <c r="N525" s="43">
        <v>200</v>
      </c>
    </row>
    <row r="526" spans="1:14" x14ac:dyDescent="0.25">
      <c r="A526" s="56"/>
      <c r="B526" s="101"/>
      <c r="C526" s="59"/>
      <c r="D526" s="20" t="s">
        <v>35</v>
      </c>
      <c r="E526" s="20"/>
      <c r="F526" s="21">
        <v>1.1000000000000001</v>
      </c>
      <c r="G526" s="21">
        <v>1.1000000000000001</v>
      </c>
      <c r="H526" s="21">
        <v>0</v>
      </c>
      <c r="I526" s="21">
        <v>0</v>
      </c>
      <c r="J526" s="20"/>
      <c r="K526" s="22"/>
      <c r="L526" s="22"/>
      <c r="M526" s="22"/>
      <c r="N526" s="44"/>
    </row>
    <row r="527" spans="1:14" x14ac:dyDescent="0.25">
      <c r="A527" s="56"/>
      <c r="B527" s="101"/>
      <c r="C527" s="59"/>
      <c r="D527" s="20" t="s">
        <v>123</v>
      </c>
      <c r="E527" s="20"/>
      <c r="F527" s="21">
        <v>2.7</v>
      </c>
      <c r="G527" s="21">
        <v>4.0999999999999996</v>
      </c>
      <c r="H527" s="21">
        <v>2.7</v>
      </c>
      <c r="I527" s="21">
        <v>2.7</v>
      </c>
      <c r="J527" s="20"/>
      <c r="K527" s="22"/>
      <c r="L527" s="22"/>
      <c r="M527" s="22"/>
      <c r="N527" s="44"/>
    </row>
    <row r="528" spans="1:14" x14ac:dyDescent="0.25">
      <c r="A528" s="56"/>
      <c r="B528" s="101"/>
      <c r="C528" s="59"/>
      <c r="D528" s="20" t="s">
        <v>30</v>
      </c>
      <c r="E528" s="20"/>
      <c r="F528" s="21">
        <v>146.30000000000001</v>
      </c>
      <c r="G528" s="21">
        <v>146.1</v>
      </c>
      <c r="H528" s="21">
        <v>146.30000000000001</v>
      </c>
      <c r="I528" s="21">
        <v>146.30000000000001</v>
      </c>
      <c r="J528" s="20"/>
      <c r="K528" s="22"/>
      <c r="L528" s="22"/>
      <c r="M528" s="22"/>
      <c r="N528" s="44"/>
    </row>
    <row r="529" spans="1:14" x14ac:dyDescent="0.25">
      <c r="A529" s="56"/>
      <c r="B529" s="101"/>
      <c r="C529" s="59"/>
      <c r="D529" s="20" t="s">
        <v>121</v>
      </c>
      <c r="E529" s="20"/>
      <c r="F529" s="21">
        <v>0</v>
      </c>
      <c r="G529" s="21">
        <v>4</v>
      </c>
      <c r="H529" s="21">
        <v>0</v>
      </c>
      <c r="I529" s="21">
        <v>0</v>
      </c>
      <c r="J529" s="20"/>
      <c r="K529" s="22"/>
      <c r="L529" s="22"/>
      <c r="M529" s="22"/>
      <c r="N529" s="44"/>
    </row>
    <row r="530" spans="1:14" ht="15.75" thickBot="1" x14ac:dyDescent="0.3">
      <c r="A530" s="57"/>
      <c r="B530" s="102"/>
      <c r="C530" s="60"/>
      <c r="D530" s="20" t="s">
        <v>128</v>
      </c>
      <c r="E530" s="20"/>
      <c r="F530" s="21">
        <v>1</v>
      </c>
      <c r="G530" s="21">
        <v>1</v>
      </c>
      <c r="H530" s="21">
        <v>1</v>
      </c>
      <c r="I530" s="21">
        <v>1</v>
      </c>
      <c r="J530" s="20"/>
      <c r="K530" s="22"/>
      <c r="L530" s="22"/>
      <c r="M530" s="22"/>
      <c r="N530" s="44"/>
    </row>
    <row r="531" spans="1:14" ht="30" x14ac:dyDescent="0.25">
      <c r="A531" s="55" t="s">
        <v>823</v>
      </c>
      <c r="B531" s="58" t="s">
        <v>824</v>
      </c>
      <c r="C531" s="58" t="s">
        <v>821</v>
      </c>
      <c r="D531" s="17"/>
      <c r="E531" s="17"/>
      <c r="F531" s="18">
        <f>SUM(F532:F535)</f>
        <v>1139.2</v>
      </c>
      <c r="G531" s="18">
        <f>SUM(G532:G535)</f>
        <v>1139.2</v>
      </c>
      <c r="H531" s="18">
        <f>SUM(H532:H535)</f>
        <v>1139.2</v>
      </c>
      <c r="I531" s="18">
        <f>SUM(I532:I535)</f>
        <v>1139.2</v>
      </c>
      <c r="J531" s="17" t="s">
        <v>825</v>
      </c>
      <c r="K531" s="19" t="s">
        <v>255</v>
      </c>
      <c r="L531" s="19">
        <v>63</v>
      </c>
      <c r="M531" s="19">
        <v>62</v>
      </c>
      <c r="N531" s="43">
        <v>60</v>
      </c>
    </row>
    <row r="532" spans="1:14" ht="30" x14ac:dyDescent="0.25">
      <c r="A532" s="56"/>
      <c r="B532" s="59"/>
      <c r="C532" s="59"/>
      <c r="D532" s="20" t="s">
        <v>491</v>
      </c>
      <c r="E532" s="20"/>
      <c r="F532" s="21">
        <v>858.6</v>
      </c>
      <c r="G532" s="21">
        <v>858.6</v>
      </c>
      <c r="H532" s="21">
        <v>858.6</v>
      </c>
      <c r="I532" s="21">
        <v>858.6</v>
      </c>
      <c r="J532" s="20" t="s">
        <v>826</v>
      </c>
      <c r="K532" s="22" t="s">
        <v>255</v>
      </c>
      <c r="L532" s="46">
        <v>50000</v>
      </c>
      <c r="M532" s="46">
        <v>40000</v>
      </c>
      <c r="N532" s="47">
        <v>30000</v>
      </c>
    </row>
    <row r="533" spans="1:14" ht="30" x14ac:dyDescent="0.25">
      <c r="A533" s="56"/>
      <c r="B533" s="59"/>
      <c r="C533" s="59"/>
      <c r="D533" s="20" t="s">
        <v>30</v>
      </c>
      <c r="E533" s="20"/>
      <c r="F533" s="21">
        <v>280.60000000000002</v>
      </c>
      <c r="G533" s="21">
        <v>280.60000000000002</v>
      </c>
      <c r="H533" s="21">
        <v>280.60000000000002</v>
      </c>
      <c r="I533" s="21">
        <v>280.60000000000002</v>
      </c>
      <c r="J533" s="20" t="s">
        <v>827</v>
      </c>
      <c r="K533" s="22" t="s">
        <v>255</v>
      </c>
      <c r="L533" s="22">
        <v>1</v>
      </c>
      <c r="M533" s="22">
        <v>1</v>
      </c>
      <c r="N533" s="44">
        <v>1</v>
      </c>
    </row>
    <row r="534" spans="1:14" ht="30" x14ac:dyDescent="0.25">
      <c r="A534" s="56"/>
      <c r="B534" s="59"/>
      <c r="C534" s="59"/>
      <c r="D534" s="20"/>
      <c r="E534" s="20"/>
      <c r="F534" s="21">
        <v>0</v>
      </c>
      <c r="G534" s="21">
        <v>0</v>
      </c>
      <c r="H534" s="21">
        <v>0</v>
      </c>
      <c r="I534" s="21">
        <v>0</v>
      </c>
      <c r="J534" s="20" t="s">
        <v>828</v>
      </c>
      <c r="K534" s="22" t="s">
        <v>255</v>
      </c>
      <c r="L534" s="46">
        <v>17000</v>
      </c>
      <c r="M534" s="46">
        <v>17000</v>
      </c>
      <c r="N534" s="47">
        <v>17000</v>
      </c>
    </row>
    <row r="535" spans="1:14" ht="45.75" thickBot="1" x14ac:dyDescent="0.3">
      <c r="A535" s="57"/>
      <c r="B535" s="60"/>
      <c r="C535" s="60"/>
      <c r="D535" s="20"/>
      <c r="E535" s="20"/>
      <c r="F535" s="21">
        <v>0</v>
      </c>
      <c r="G535" s="21">
        <v>0</v>
      </c>
      <c r="H535" s="21">
        <v>0</v>
      </c>
      <c r="I535" s="21">
        <v>0</v>
      </c>
      <c r="J535" s="20" t="s">
        <v>829</v>
      </c>
      <c r="K535" s="22" t="s">
        <v>255</v>
      </c>
      <c r="L535" s="22">
        <v>65</v>
      </c>
      <c r="M535" s="22">
        <v>64</v>
      </c>
      <c r="N535" s="44">
        <v>64</v>
      </c>
    </row>
    <row r="536" spans="1:14" ht="39.75" customHeight="1" x14ac:dyDescent="0.25">
      <c r="A536" s="55" t="s">
        <v>830</v>
      </c>
      <c r="B536" s="58" t="s">
        <v>831</v>
      </c>
      <c r="C536" s="58" t="s">
        <v>821</v>
      </c>
      <c r="D536" s="17"/>
      <c r="E536" s="17"/>
      <c r="F536" s="18">
        <f>SUM(F537:F538)</f>
        <v>185.2</v>
      </c>
      <c r="G536" s="18">
        <f>SUM(G537:G538)</f>
        <v>199</v>
      </c>
      <c r="H536" s="18">
        <f>SUM(H537:H538)</f>
        <v>185.2</v>
      </c>
      <c r="I536" s="18">
        <f>SUM(I537:I538)</f>
        <v>185.2</v>
      </c>
      <c r="J536" s="17" t="s">
        <v>832</v>
      </c>
      <c r="K536" s="19" t="s">
        <v>255</v>
      </c>
      <c r="L536" s="50">
        <v>1540</v>
      </c>
      <c r="M536" s="50">
        <v>1400</v>
      </c>
      <c r="N536" s="51">
        <v>1400</v>
      </c>
    </row>
    <row r="537" spans="1:14" x14ac:dyDescent="0.25">
      <c r="A537" s="56"/>
      <c r="B537" s="59"/>
      <c r="C537" s="59"/>
      <c r="D537" s="20" t="s">
        <v>121</v>
      </c>
      <c r="E537" s="20"/>
      <c r="F537" s="21">
        <v>0</v>
      </c>
      <c r="G537" s="21">
        <v>13.8</v>
      </c>
      <c r="H537" s="21">
        <v>0</v>
      </c>
      <c r="I537" s="21">
        <v>0</v>
      </c>
      <c r="J537" s="20" t="s">
        <v>833</v>
      </c>
      <c r="K537" s="22" t="s">
        <v>255</v>
      </c>
      <c r="L537" s="22">
        <v>482</v>
      </c>
      <c r="M537" s="22">
        <v>160</v>
      </c>
      <c r="N537" s="44">
        <v>160</v>
      </c>
    </row>
    <row r="538" spans="1:14" ht="15.75" thickBot="1" x14ac:dyDescent="0.3">
      <c r="A538" s="57"/>
      <c r="B538" s="60"/>
      <c r="C538" s="60"/>
      <c r="D538" s="20" t="s">
        <v>491</v>
      </c>
      <c r="E538" s="20"/>
      <c r="F538" s="21">
        <v>185.2</v>
      </c>
      <c r="G538" s="21">
        <v>185.2</v>
      </c>
      <c r="H538" s="21">
        <v>185.2</v>
      </c>
      <c r="I538" s="21">
        <v>185.2</v>
      </c>
      <c r="J538" s="20" t="s">
        <v>834</v>
      </c>
      <c r="K538" s="22" t="s">
        <v>255</v>
      </c>
      <c r="L538" s="22">
        <v>30</v>
      </c>
      <c r="M538" s="22">
        <v>10</v>
      </c>
      <c r="N538" s="44">
        <v>10</v>
      </c>
    </row>
    <row r="539" spans="1:14" ht="33.75" customHeight="1" thickBot="1" x14ac:dyDescent="0.3">
      <c r="A539" s="15" t="s">
        <v>835</v>
      </c>
      <c r="B539" s="72" t="s">
        <v>836</v>
      </c>
      <c r="C539" s="73"/>
      <c r="D539" s="73"/>
      <c r="E539" s="74"/>
      <c r="F539" s="16">
        <f>F540+F544+F547+F549+F550</f>
        <v>617.20000000000005</v>
      </c>
      <c r="G539" s="16">
        <f>G540+G544+G547+G549+G550</f>
        <v>656.4</v>
      </c>
      <c r="H539" s="16">
        <f>H540+H544+H547+H549+H550</f>
        <v>466</v>
      </c>
      <c r="I539" s="16">
        <f>I540+I544+I547+I549+I550</f>
        <v>466</v>
      </c>
      <c r="J539" s="61"/>
      <c r="K539" s="62"/>
      <c r="L539" s="62"/>
      <c r="M539" s="62"/>
      <c r="N539" s="63"/>
    </row>
    <row r="540" spans="1:14" ht="45" x14ac:dyDescent="0.25">
      <c r="A540" s="55" t="s">
        <v>837</v>
      </c>
      <c r="B540" s="58" t="s">
        <v>838</v>
      </c>
      <c r="C540" s="58" t="s">
        <v>839</v>
      </c>
      <c r="D540" s="17"/>
      <c r="E540" s="17"/>
      <c r="F540" s="18">
        <f>SUM(F541:F543)</f>
        <v>23.199999999999996</v>
      </c>
      <c r="G540" s="18">
        <f>SUM(G541:G543)</f>
        <v>23.199999999999996</v>
      </c>
      <c r="H540" s="18">
        <f>SUM(H541:H543)</f>
        <v>0</v>
      </c>
      <c r="I540" s="18">
        <f>SUM(I541:I543)</f>
        <v>0</v>
      </c>
      <c r="J540" s="17" t="s">
        <v>840</v>
      </c>
      <c r="K540" s="19" t="s">
        <v>255</v>
      </c>
      <c r="L540" s="19">
        <v>15</v>
      </c>
      <c r="M540" s="19"/>
      <c r="N540" s="43"/>
    </row>
    <row r="541" spans="1:14" x14ac:dyDescent="0.25">
      <c r="A541" s="56"/>
      <c r="B541" s="59"/>
      <c r="C541" s="59"/>
      <c r="D541" s="20" t="s">
        <v>35</v>
      </c>
      <c r="E541" s="20"/>
      <c r="F541" s="21">
        <v>7.1</v>
      </c>
      <c r="G541" s="21">
        <v>7.1</v>
      </c>
      <c r="H541" s="21">
        <v>0</v>
      </c>
      <c r="I541" s="21">
        <v>0</v>
      </c>
      <c r="J541" s="20"/>
      <c r="K541" s="22"/>
      <c r="L541" s="22"/>
      <c r="M541" s="22"/>
      <c r="N541" s="44"/>
    </row>
    <row r="542" spans="1:14" x14ac:dyDescent="0.25">
      <c r="A542" s="56"/>
      <c r="B542" s="59"/>
      <c r="C542" s="59"/>
      <c r="D542" s="20" t="s">
        <v>136</v>
      </c>
      <c r="E542" s="20"/>
      <c r="F542" s="21">
        <v>14.7</v>
      </c>
      <c r="G542" s="21">
        <v>14.7</v>
      </c>
      <c r="H542" s="21">
        <v>0</v>
      </c>
      <c r="I542" s="21">
        <v>0</v>
      </c>
      <c r="J542" s="20"/>
      <c r="K542" s="22"/>
      <c r="L542" s="22"/>
      <c r="M542" s="22"/>
      <c r="N542" s="44"/>
    </row>
    <row r="543" spans="1:14" ht="15.75" thickBot="1" x14ac:dyDescent="0.3">
      <c r="A543" s="57"/>
      <c r="B543" s="60"/>
      <c r="C543" s="60"/>
      <c r="D543" s="20" t="s">
        <v>121</v>
      </c>
      <c r="E543" s="20"/>
      <c r="F543" s="21">
        <v>1.4</v>
      </c>
      <c r="G543" s="21">
        <v>1.4</v>
      </c>
      <c r="H543" s="21">
        <v>0</v>
      </c>
      <c r="I543" s="21">
        <v>0</v>
      </c>
      <c r="J543" s="20"/>
      <c r="K543" s="22"/>
      <c r="L543" s="22"/>
      <c r="M543" s="22"/>
      <c r="N543" s="44"/>
    </row>
    <row r="544" spans="1:14" ht="35.25" customHeight="1" x14ac:dyDescent="0.25">
      <c r="A544" s="55" t="s">
        <v>841</v>
      </c>
      <c r="B544" s="58" t="s">
        <v>842</v>
      </c>
      <c r="C544" s="58" t="s">
        <v>843</v>
      </c>
      <c r="D544" s="17"/>
      <c r="E544" s="17"/>
      <c r="F544" s="18">
        <f>SUM(F545:F546)</f>
        <v>44</v>
      </c>
      <c r="G544" s="18">
        <f>SUM(G545:G546)</f>
        <v>44</v>
      </c>
      <c r="H544" s="18">
        <f>SUM(H545:H546)</f>
        <v>0</v>
      </c>
      <c r="I544" s="18">
        <f>SUM(I545:I546)</f>
        <v>0</v>
      </c>
      <c r="J544" s="17" t="s">
        <v>844</v>
      </c>
      <c r="K544" s="19" t="s">
        <v>255</v>
      </c>
      <c r="L544" s="19">
        <v>181</v>
      </c>
      <c r="M544" s="19"/>
      <c r="N544" s="43"/>
    </row>
    <row r="545" spans="1:14" x14ac:dyDescent="0.25">
      <c r="A545" s="56"/>
      <c r="B545" s="59"/>
      <c r="C545" s="59"/>
      <c r="D545" s="20" t="s">
        <v>136</v>
      </c>
      <c r="E545" s="20"/>
      <c r="F545" s="21">
        <v>37.4</v>
      </c>
      <c r="G545" s="21">
        <v>37.4</v>
      </c>
      <c r="H545" s="21">
        <v>0</v>
      </c>
      <c r="I545" s="21">
        <v>0</v>
      </c>
      <c r="J545" s="20"/>
      <c r="K545" s="22"/>
      <c r="L545" s="22"/>
      <c r="M545" s="22"/>
      <c r="N545" s="44"/>
    </row>
    <row r="546" spans="1:14" ht="15.75" thickBot="1" x14ac:dyDescent="0.3">
      <c r="A546" s="57"/>
      <c r="B546" s="60"/>
      <c r="C546" s="60"/>
      <c r="D546" s="20" t="s">
        <v>121</v>
      </c>
      <c r="E546" s="20"/>
      <c r="F546" s="21">
        <v>6.6</v>
      </c>
      <c r="G546" s="21">
        <v>6.6</v>
      </c>
      <c r="H546" s="21">
        <v>0</v>
      </c>
      <c r="I546" s="21">
        <v>0</v>
      </c>
      <c r="J546" s="20"/>
      <c r="K546" s="22"/>
      <c r="L546" s="22"/>
      <c r="M546" s="22"/>
      <c r="N546" s="44"/>
    </row>
    <row r="547" spans="1:14" x14ac:dyDescent="0.25">
      <c r="A547" s="55" t="s">
        <v>845</v>
      </c>
      <c r="B547" s="58" t="s">
        <v>846</v>
      </c>
      <c r="C547" s="58" t="s">
        <v>792</v>
      </c>
      <c r="D547" s="17"/>
      <c r="E547" s="17" t="s">
        <v>847</v>
      </c>
      <c r="F547" s="18">
        <f>SUM(F548:F548)</f>
        <v>316</v>
      </c>
      <c r="G547" s="18">
        <f>SUM(G548:G548)</f>
        <v>370</v>
      </c>
      <c r="H547" s="18">
        <f>SUM(H548:H548)</f>
        <v>316</v>
      </c>
      <c r="I547" s="18">
        <f>SUM(I548:I548)</f>
        <v>316</v>
      </c>
      <c r="J547" s="17" t="s">
        <v>848</v>
      </c>
      <c r="K547" s="19" t="s">
        <v>255</v>
      </c>
      <c r="L547" s="19">
        <v>12</v>
      </c>
      <c r="M547" s="19">
        <v>12</v>
      </c>
      <c r="N547" s="43">
        <v>12</v>
      </c>
    </row>
    <row r="548" spans="1:14" ht="15.75" thickBot="1" x14ac:dyDescent="0.3">
      <c r="A548" s="57"/>
      <c r="B548" s="60"/>
      <c r="C548" s="60"/>
      <c r="D548" s="20" t="s">
        <v>30</v>
      </c>
      <c r="E548" s="20"/>
      <c r="F548" s="21">
        <v>316</v>
      </c>
      <c r="G548" s="21">
        <v>370</v>
      </c>
      <c r="H548" s="21">
        <v>316</v>
      </c>
      <c r="I548" s="21">
        <v>316</v>
      </c>
      <c r="J548" s="20" t="s">
        <v>849</v>
      </c>
      <c r="K548" s="22" t="s">
        <v>255</v>
      </c>
      <c r="L548" s="22">
        <v>8</v>
      </c>
      <c r="M548" s="22">
        <v>8</v>
      </c>
      <c r="N548" s="44">
        <v>8</v>
      </c>
    </row>
    <row r="549" spans="1:14" ht="75.75" thickBot="1" x14ac:dyDescent="0.3">
      <c r="A549" s="23" t="s">
        <v>850</v>
      </c>
      <c r="B549" s="24" t="s">
        <v>851</v>
      </c>
      <c r="C549" s="17" t="s">
        <v>134</v>
      </c>
      <c r="D549" s="17" t="s">
        <v>35</v>
      </c>
      <c r="E549" s="17"/>
      <c r="F549" s="25">
        <v>15.3</v>
      </c>
      <c r="G549" s="25">
        <v>0.5</v>
      </c>
      <c r="H549" s="25">
        <v>0</v>
      </c>
      <c r="I549" s="25">
        <v>0</v>
      </c>
      <c r="J549" s="17" t="s">
        <v>164</v>
      </c>
      <c r="K549" s="19" t="s">
        <v>24</v>
      </c>
      <c r="L549" s="19">
        <v>1</v>
      </c>
      <c r="M549" s="19"/>
      <c r="N549" s="43"/>
    </row>
    <row r="550" spans="1:14" x14ac:dyDescent="0.25">
      <c r="A550" s="55" t="s">
        <v>852</v>
      </c>
      <c r="B550" s="58" t="s">
        <v>853</v>
      </c>
      <c r="C550" s="58" t="s">
        <v>854</v>
      </c>
      <c r="D550" s="17"/>
      <c r="E550" s="17"/>
      <c r="F550" s="18">
        <f>SUM(F551:F553)</f>
        <v>218.7</v>
      </c>
      <c r="G550" s="18">
        <f>SUM(G551:G553)</f>
        <v>218.7</v>
      </c>
      <c r="H550" s="18">
        <f>SUM(H551:H553)</f>
        <v>150</v>
      </c>
      <c r="I550" s="18">
        <f>SUM(I551:I553)</f>
        <v>150</v>
      </c>
      <c r="J550" s="17" t="s">
        <v>855</v>
      </c>
      <c r="K550" s="19" t="s">
        <v>20</v>
      </c>
      <c r="L550" s="19">
        <v>100</v>
      </c>
      <c r="M550" s="19">
        <v>100</v>
      </c>
      <c r="N550" s="43">
        <v>100</v>
      </c>
    </row>
    <row r="551" spans="1:14" x14ac:dyDescent="0.25">
      <c r="A551" s="56"/>
      <c r="B551" s="59"/>
      <c r="C551" s="59"/>
      <c r="D551" s="20" t="s">
        <v>30</v>
      </c>
      <c r="E551" s="20"/>
      <c r="F551" s="21">
        <v>70</v>
      </c>
      <c r="G551" s="21">
        <v>70</v>
      </c>
      <c r="H551" s="21">
        <v>70</v>
      </c>
      <c r="I551" s="21">
        <v>70</v>
      </c>
      <c r="J551" s="20"/>
      <c r="K551" s="22"/>
      <c r="L551" s="22"/>
      <c r="M551" s="22"/>
      <c r="N551" s="44"/>
    </row>
    <row r="552" spans="1:14" x14ac:dyDescent="0.25">
      <c r="A552" s="56"/>
      <c r="B552" s="59"/>
      <c r="C552" s="59"/>
      <c r="D552" s="20" t="s">
        <v>200</v>
      </c>
      <c r="E552" s="20"/>
      <c r="F552" s="21">
        <v>80</v>
      </c>
      <c r="G552" s="21">
        <v>80</v>
      </c>
      <c r="H552" s="21">
        <v>80</v>
      </c>
      <c r="I552" s="21">
        <v>80</v>
      </c>
      <c r="J552" s="20"/>
      <c r="K552" s="22"/>
      <c r="L552" s="22"/>
      <c r="M552" s="22"/>
      <c r="N552" s="44"/>
    </row>
    <row r="553" spans="1:14" ht="15.75" thickBot="1" x14ac:dyDescent="0.3">
      <c r="A553" s="57"/>
      <c r="B553" s="60"/>
      <c r="C553" s="60"/>
      <c r="D553" s="20" t="s">
        <v>225</v>
      </c>
      <c r="E553" s="20"/>
      <c r="F553" s="21">
        <v>68.7</v>
      </c>
      <c r="G553" s="21">
        <v>68.7</v>
      </c>
      <c r="H553" s="21">
        <v>0</v>
      </c>
      <c r="I553" s="21">
        <v>0</v>
      </c>
      <c r="J553" s="20"/>
      <c r="K553" s="22"/>
      <c r="L553" s="22"/>
      <c r="M553" s="22"/>
      <c r="N553" s="44"/>
    </row>
    <row r="554" spans="1:14" ht="39" customHeight="1" thickBot="1" x14ac:dyDescent="0.3">
      <c r="A554" s="8" t="s">
        <v>856</v>
      </c>
      <c r="B554" s="9" t="s">
        <v>857</v>
      </c>
      <c r="C554" s="87" t="s">
        <v>858</v>
      </c>
      <c r="D554" s="88"/>
      <c r="E554" s="89"/>
      <c r="F554" s="10">
        <f>SUM(F555:F555)</f>
        <v>62148.799999999996</v>
      </c>
      <c r="G554" s="10">
        <f>SUM(G555:G555)</f>
        <v>70176.800000000003</v>
      </c>
      <c r="H554" s="10">
        <f>SUM(H555:H555)</f>
        <v>55976.899999999994</v>
      </c>
      <c r="I554" s="10">
        <f>SUM(I555:I555)</f>
        <v>55138.799999999996</v>
      </c>
      <c r="J554" s="90"/>
      <c r="K554" s="91"/>
      <c r="L554" s="91"/>
      <c r="M554" s="91"/>
      <c r="N554" s="92"/>
    </row>
    <row r="555" spans="1:14" ht="30" x14ac:dyDescent="0.25">
      <c r="A555" s="64" t="s">
        <v>859</v>
      </c>
      <c r="B555" s="66" t="s">
        <v>860</v>
      </c>
      <c r="C555" s="67"/>
      <c r="D555" s="67"/>
      <c r="E555" s="68"/>
      <c r="F555" s="12">
        <f>F556+F557+F558+F605+F623</f>
        <v>62148.799999999996</v>
      </c>
      <c r="G555" s="12">
        <f>G556+G557+G558+G605+G623</f>
        <v>70176.800000000003</v>
      </c>
      <c r="H555" s="12">
        <f>H556+H557+H558+H605+H623</f>
        <v>55976.899999999994</v>
      </c>
      <c r="I555" s="12">
        <f>I556+I557+I558+I605+I623</f>
        <v>55138.799999999996</v>
      </c>
      <c r="J555" s="13" t="s">
        <v>861</v>
      </c>
      <c r="K555" s="14" t="s">
        <v>20</v>
      </c>
      <c r="L555" s="14">
        <v>20.5</v>
      </c>
      <c r="M555" s="14">
        <v>20.9</v>
      </c>
      <c r="N555" s="42">
        <v>20.9</v>
      </c>
    </row>
    <row r="556" spans="1:14" ht="30" x14ac:dyDescent="0.25">
      <c r="A556" s="96"/>
      <c r="B556" s="97"/>
      <c r="C556" s="98"/>
      <c r="D556" s="98"/>
      <c r="E556" s="99"/>
      <c r="F556" s="26">
        <v>0</v>
      </c>
      <c r="G556" s="26">
        <v>0</v>
      </c>
      <c r="H556" s="26">
        <v>0</v>
      </c>
      <c r="I556" s="26">
        <v>0</v>
      </c>
      <c r="J556" s="27" t="s">
        <v>862</v>
      </c>
      <c r="K556" s="28" t="s">
        <v>20</v>
      </c>
      <c r="L556" s="28">
        <v>44.5</v>
      </c>
      <c r="M556" s="28">
        <v>44.5</v>
      </c>
      <c r="N556" s="45">
        <v>44.5</v>
      </c>
    </row>
    <row r="557" spans="1:14" ht="45.75" thickBot="1" x14ac:dyDescent="0.3">
      <c r="A557" s="65"/>
      <c r="B557" s="69"/>
      <c r="C557" s="70"/>
      <c r="D557" s="70"/>
      <c r="E557" s="71"/>
      <c r="F557" s="26">
        <v>0</v>
      </c>
      <c r="G557" s="26">
        <v>0</v>
      </c>
      <c r="H557" s="26">
        <v>0</v>
      </c>
      <c r="I557" s="26">
        <v>0</v>
      </c>
      <c r="J557" s="27" t="s">
        <v>863</v>
      </c>
      <c r="K557" s="28" t="s">
        <v>20</v>
      </c>
      <c r="L557" s="28">
        <v>16.7</v>
      </c>
      <c r="M557" s="28">
        <v>16.7</v>
      </c>
      <c r="N557" s="45">
        <v>16.7</v>
      </c>
    </row>
    <row r="558" spans="1:14" ht="28.5" customHeight="1" thickBot="1" x14ac:dyDescent="0.3">
      <c r="A558" s="15" t="s">
        <v>864</v>
      </c>
      <c r="B558" s="72" t="s">
        <v>865</v>
      </c>
      <c r="C558" s="73"/>
      <c r="D558" s="73"/>
      <c r="E558" s="74"/>
      <c r="F558" s="16">
        <f>F559+F563+F565+F569+F574+F583+F586+F589+F592+F594+F598+F601</f>
        <v>13835.000000000002</v>
      </c>
      <c r="G558" s="16">
        <f>G559+G563+G565+G569+G574+G583+G586+G589+G592+G594+G598+G601</f>
        <v>16635.000000000004</v>
      </c>
      <c r="H558" s="16">
        <f>H559+H563+H565+H569+H574+H583+H586+H589+H592+H594+H598+H601+0.1</f>
        <v>13431.500000000002</v>
      </c>
      <c r="I558" s="16">
        <f>I559+I563+I565+I569+I574+I583+I586+I589+I592+I594+I598+I601</f>
        <v>13453.400000000001</v>
      </c>
      <c r="J558" s="61"/>
      <c r="K558" s="62"/>
      <c r="L558" s="62"/>
      <c r="M558" s="62"/>
      <c r="N558" s="63"/>
    </row>
    <row r="559" spans="1:14" x14ac:dyDescent="0.25">
      <c r="A559" s="55" t="s">
        <v>866</v>
      </c>
      <c r="B559" s="58" t="s">
        <v>867</v>
      </c>
      <c r="C559" s="58" t="s">
        <v>868</v>
      </c>
      <c r="D559" s="17"/>
      <c r="E559" s="17"/>
      <c r="F559" s="18">
        <f>SUM(F560:F562)</f>
        <v>2283.4</v>
      </c>
      <c r="G559" s="18">
        <f>SUM(G560:G562)</f>
        <v>4490.6000000000004</v>
      </c>
      <c r="H559" s="18">
        <f>SUM(H560:H562)</f>
        <v>2425.4</v>
      </c>
      <c r="I559" s="18">
        <f>SUM(I560:I562)</f>
        <v>2425.4</v>
      </c>
      <c r="J559" s="17" t="s">
        <v>869</v>
      </c>
      <c r="K559" s="19" t="s">
        <v>255</v>
      </c>
      <c r="L559" s="19">
        <v>4</v>
      </c>
      <c r="M559" s="19">
        <v>4</v>
      </c>
      <c r="N559" s="43">
        <v>4</v>
      </c>
    </row>
    <row r="560" spans="1:14" x14ac:dyDescent="0.25">
      <c r="A560" s="56"/>
      <c r="B560" s="59"/>
      <c r="C560" s="59"/>
      <c r="D560" s="20" t="s">
        <v>30</v>
      </c>
      <c r="E560" s="20"/>
      <c r="F560" s="21">
        <v>0</v>
      </c>
      <c r="G560" s="21">
        <v>120</v>
      </c>
      <c r="H560" s="21">
        <v>700</v>
      </c>
      <c r="I560" s="21">
        <v>700</v>
      </c>
      <c r="J560" s="20" t="s">
        <v>870</v>
      </c>
      <c r="K560" s="22" t="s">
        <v>255</v>
      </c>
      <c r="L560" s="22">
        <v>620</v>
      </c>
      <c r="M560" s="22">
        <v>620</v>
      </c>
      <c r="N560" s="44">
        <v>620</v>
      </c>
    </row>
    <row r="561" spans="1:14" x14ac:dyDescent="0.25">
      <c r="A561" s="56"/>
      <c r="B561" s="59"/>
      <c r="C561" s="59"/>
      <c r="D561" s="20" t="s">
        <v>35</v>
      </c>
      <c r="E561" s="20"/>
      <c r="F561" s="21">
        <v>725</v>
      </c>
      <c r="G561" s="21">
        <v>725</v>
      </c>
      <c r="H561" s="21">
        <v>0</v>
      </c>
      <c r="I561" s="21">
        <v>0</v>
      </c>
      <c r="J561" s="20" t="s">
        <v>871</v>
      </c>
      <c r="K561" s="22" t="s">
        <v>255</v>
      </c>
      <c r="L561" s="22">
        <v>130</v>
      </c>
      <c r="M561" s="22">
        <v>130</v>
      </c>
      <c r="N561" s="44">
        <v>130</v>
      </c>
    </row>
    <row r="562" spans="1:14" ht="43.5" customHeight="1" thickBot="1" x14ac:dyDescent="0.3">
      <c r="A562" s="57"/>
      <c r="B562" s="60"/>
      <c r="C562" s="60"/>
      <c r="D562" s="20" t="s">
        <v>491</v>
      </c>
      <c r="E562" s="20"/>
      <c r="F562" s="21">
        <v>1558.4</v>
      </c>
      <c r="G562" s="21">
        <v>3645.6</v>
      </c>
      <c r="H562" s="21">
        <v>1725.4</v>
      </c>
      <c r="I562" s="21">
        <v>1725.4</v>
      </c>
      <c r="J562" s="20" t="s">
        <v>872</v>
      </c>
      <c r="K562" s="22" t="s">
        <v>20</v>
      </c>
      <c r="L562" s="22">
        <v>100</v>
      </c>
      <c r="M562" s="22">
        <v>100</v>
      </c>
      <c r="N562" s="44">
        <v>100</v>
      </c>
    </row>
    <row r="563" spans="1:14" ht="30" x14ac:dyDescent="0.25">
      <c r="A563" s="55" t="s">
        <v>873</v>
      </c>
      <c r="B563" s="58" t="s">
        <v>874</v>
      </c>
      <c r="C563" s="58" t="s">
        <v>875</v>
      </c>
      <c r="D563" s="17"/>
      <c r="E563" s="17"/>
      <c r="F563" s="18">
        <f>SUM(F564:F564)</f>
        <v>190.8</v>
      </c>
      <c r="G563" s="18">
        <f>SUM(G564:G564)</f>
        <v>190.8</v>
      </c>
      <c r="H563" s="18">
        <f>SUM(H564:H564)</f>
        <v>190.8</v>
      </c>
      <c r="I563" s="18">
        <f>SUM(I564:I564)</f>
        <v>190.8</v>
      </c>
      <c r="J563" s="17" t="s">
        <v>876</v>
      </c>
      <c r="K563" s="19" t="s">
        <v>20</v>
      </c>
      <c r="L563" s="19">
        <v>10</v>
      </c>
      <c r="M563" s="19">
        <v>10</v>
      </c>
      <c r="N563" s="43">
        <v>10</v>
      </c>
    </row>
    <row r="564" spans="1:14" ht="15.75" thickBot="1" x14ac:dyDescent="0.3">
      <c r="A564" s="57"/>
      <c r="B564" s="60"/>
      <c r="C564" s="60"/>
      <c r="D564" s="20" t="s">
        <v>491</v>
      </c>
      <c r="E564" s="20"/>
      <c r="F564" s="21">
        <v>190.8</v>
      </c>
      <c r="G564" s="21">
        <v>190.8</v>
      </c>
      <c r="H564" s="21">
        <v>190.8</v>
      </c>
      <c r="I564" s="21">
        <v>190.8</v>
      </c>
      <c r="J564" s="20"/>
      <c r="K564" s="22"/>
      <c r="L564" s="22"/>
      <c r="M564" s="22"/>
      <c r="N564" s="44"/>
    </row>
    <row r="565" spans="1:14" x14ac:dyDescent="0.25">
      <c r="A565" s="55" t="s">
        <v>877</v>
      </c>
      <c r="B565" s="58" t="s">
        <v>878</v>
      </c>
      <c r="C565" s="58" t="s">
        <v>879</v>
      </c>
      <c r="D565" s="17"/>
      <c r="E565" s="17"/>
      <c r="F565" s="18">
        <f>SUM(F566:F568)</f>
        <v>367.4</v>
      </c>
      <c r="G565" s="18">
        <f>SUM(G566:G568)</f>
        <v>402.3</v>
      </c>
      <c r="H565" s="18">
        <f>SUM(H566:H568)</f>
        <v>321</v>
      </c>
      <c r="I565" s="18">
        <f>SUM(I566:I568)</f>
        <v>321</v>
      </c>
      <c r="J565" s="17" t="s">
        <v>880</v>
      </c>
      <c r="K565" s="19" t="s">
        <v>20</v>
      </c>
      <c r="L565" s="19">
        <v>70</v>
      </c>
      <c r="M565" s="19">
        <v>70</v>
      </c>
      <c r="N565" s="43">
        <v>70</v>
      </c>
    </row>
    <row r="566" spans="1:14" x14ac:dyDescent="0.25">
      <c r="A566" s="56"/>
      <c r="B566" s="59"/>
      <c r="C566" s="59"/>
      <c r="D566" s="20" t="s">
        <v>35</v>
      </c>
      <c r="E566" s="20"/>
      <c r="F566" s="21">
        <v>46.4</v>
      </c>
      <c r="G566" s="21">
        <v>46.4</v>
      </c>
      <c r="H566" s="21">
        <v>0</v>
      </c>
      <c r="I566" s="21">
        <v>0</v>
      </c>
      <c r="J566" s="20"/>
      <c r="K566" s="22"/>
      <c r="L566" s="22"/>
      <c r="M566" s="22"/>
      <c r="N566" s="44"/>
    </row>
    <row r="567" spans="1:14" x14ac:dyDescent="0.25">
      <c r="A567" s="56"/>
      <c r="B567" s="59"/>
      <c r="C567" s="59"/>
      <c r="D567" s="20" t="s">
        <v>30</v>
      </c>
      <c r="E567" s="20"/>
      <c r="F567" s="21">
        <v>121</v>
      </c>
      <c r="G567" s="21">
        <v>121</v>
      </c>
      <c r="H567" s="21">
        <v>121</v>
      </c>
      <c r="I567" s="21">
        <v>121</v>
      </c>
      <c r="J567" s="20"/>
      <c r="K567" s="22"/>
      <c r="L567" s="22"/>
      <c r="M567" s="22"/>
      <c r="N567" s="44"/>
    </row>
    <row r="568" spans="1:14" ht="15.75" thickBot="1" x14ac:dyDescent="0.3">
      <c r="A568" s="57"/>
      <c r="B568" s="60"/>
      <c r="C568" s="60"/>
      <c r="D568" s="20" t="s">
        <v>121</v>
      </c>
      <c r="E568" s="20"/>
      <c r="F568" s="21">
        <v>200</v>
      </c>
      <c r="G568" s="21">
        <v>234.9</v>
      </c>
      <c r="H568" s="21">
        <v>200</v>
      </c>
      <c r="I568" s="21">
        <v>200</v>
      </c>
      <c r="J568" s="20"/>
      <c r="K568" s="22"/>
      <c r="L568" s="22"/>
      <c r="M568" s="22"/>
      <c r="N568" s="44"/>
    </row>
    <row r="569" spans="1:14" x14ac:dyDescent="0.25">
      <c r="A569" s="55" t="s">
        <v>881</v>
      </c>
      <c r="B569" s="58" t="s">
        <v>882</v>
      </c>
      <c r="C569" s="58" t="s">
        <v>868</v>
      </c>
      <c r="D569" s="17"/>
      <c r="E569" s="17"/>
      <c r="F569" s="18">
        <f>SUM(F570:F573)</f>
        <v>859</v>
      </c>
      <c r="G569" s="18">
        <f>SUM(G570:G573)</f>
        <v>872.59999999999991</v>
      </c>
      <c r="H569" s="18">
        <f>SUM(H570:H573)</f>
        <v>859</v>
      </c>
      <c r="I569" s="18">
        <f>SUM(I570:I573)</f>
        <v>859</v>
      </c>
      <c r="J569" s="17" t="s">
        <v>869</v>
      </c>
      <c r="K569" s="19" t="s">
        <v>255</v>
      </c>
      <c r="L569" s="19">
        <v>8</v>
      </c>
      <c r="M569" s="19">
        <v>8</v>
      </c>
      <c r="N569" s="43">
        <v>8</v>
      </c>
    </row>
    <row r="570" spans="1:14" ht="39.75" customHeight="1" x14ac:dyDescent="0.25">
      <c r="A570" s="56"/>
      <c r="B570" s="59"/>
      <c r="C570" s="59"/>
      <c r="D570" s="20" t="s">
        <v>491</v>
      </c>
      <c r="E570" s="20"/>
      <c r="F570" s="21">
        <v>293.10000000000002</v>
      </c>
      <c r="G570" s="21">
        <v>305.89999999999998</v>
      </c>
      <c r="H570" s="21">
        <v>293.10000000000002</v>
      </c>
      <c r="I570" s="21">
        <v>293.10000000000002</v>
      </c>
      <c r="J570" s="20" t="s">
        <v>883</v>
      </c>
      <c r="K570" s="22" t="s">
        <v>20</v>
      </c>
      <c r="L570" s="22">
        <v>100</v>
      </c>
      <c r="M570" s="22">
        <v>100</v>
      </c>
      <c r="N570" s="44">
        <v>100</v>
      </c>
    </row>
    <row r="571" spans="1:14" ht="30" x14ac:dyDescent="0.25">
      <c r="A571" s="56"/>
      <c r="B571" s="59"/>
      <c r="C571" s="59"/>
      <c r="D571" s="20" t="s">
        <v>121</v>
      </c>
      <c r="E571" s="20"/>
      <c r="F571" s="21">
        <v>292.60000000000002</v>
      </c>
      <c r="G571" s="21">
        <v>390.4</v>
      </c>
      <c r="H571" s="21">
        <v>292.60000000000002</v>
      </c>
      <c r="I571" s="21">
        <v>292.60000000000002</v>
      </c>
      <c r="J571" s="20" t="s">
        <v>884</v>
      </c>
      <c r="K571" s="22" t="s">
        <v>20</v>
      </c>
      <c r="L571" s="22">
        <v>95</v>
      </c>
      <c r="M571" s="22">
        <v>95</v>
      </c>
      <c r="N571" s="44">
        <v>95</v>
      </c>
    </row>
    <row r="572" spans="1:14" ht="30" x14ac:dyDescent="0.25">
      <c r="A572" s="56"/>
      <c r="B572" s="59"/>
      <c r="C572" s="59"/>
      <c r="D572" s="20" t="s">
        <v>30</v>
      </c>
      <c r="E572" s="20"/>
      <c r="F572" s="21">
        <v>273.3</v>
      </c>
      <c r="G572" s="21">
        <v>176.3</v>
      </c>
      <c r="H572" s="21">
        <v>273.3</v>
      </c>
      <c r="I572" s="21">
        <v>273.3</v>
      </c>
      <c r="J572" s="20" t="s">
        <v>885</v>
      </c>
      <c r="K572" s="22" t="s">
        <v>20</v>
      </c>
      <c r="L572" s="22">
        <v>100</v>
      </c>
      <c r="M572" s="22">
        <v>100</v>
      </c>
      <c r="N572" s="44">
        <v>100</v>
      </c>
    </row>
    <row r="573" spans="1:14" ht="30.75" thickBot="1" x14ac:dyDescent="0.3">
      <c r="A573" s="57"/>
      <c r="B573" s="60"/>
      <c r="C573" s="60"/>
      <c r="D573" s="20"/>
      <c r="E573" s="20"/>
      <c r="F573" s="21">
        <v>0</v>
      </c>
      <c r="G573" s="21">
        <v>0</v>
      </c>
      <c r="H573" s="21">
        <v>0</v>
      </c>
      <c r="I573" s="21">
        <v>0</v>
      </c>
      <c r="J573" s="20" t="s">
        <v>886</v>
      </c>
      <c r="K573" s="22" t="s">
        <v>20</v>
      </c>
      <c r="L573" s="22">
        <v>100</v>
      </c>
      <c r="M573" s="22">
        <v>100</v>
      </c>
      <c r="N573" s="44">
        <v>100</v>
      </c>
    </row>
    <row r="574" spans="1:14" x14ac:dyDescent="0.25">
      <c r="A574" s="55" t="s">
        <v>887</v>
      </c>
      <c r="B574" s="58" t="s">
        <v>888</v>
      </c>
      <c r="C574" s="58" t="s">
        <v>889</v>
      </c>
      <c r="D574" s="17"/>
      <c r="E574" s="17"/>
      <c r="F574" s="18">
        <f>SUM(F575:F582)</f>
        <v>7541.4</v>
      </c>
      <c r="G574" s="18">
        <f>SUM(G575:G582)</f>
        <v>8231.4000000000015</v>
      </c>
      <c r="H574" s="18">
        <f>SUM(H575:H582)</f>
        <v>7377.9000000000005</v>
      </c>
      <c r="I574" s="18">
        <f>SUM(I575:I582)</f>
        <v>7399.9000000000005</v>
      </c>
      <c r="J574" s="17" t="s">
        <v>890</v>
      </c>
      <c r="K574" s="19" t="s">
        <v>255</v>
      </c>
      <c r="L574" s="19">
        <v>21</v>
      </c>
      <c r="M574" s="19">
        <v>21</v>
      </c>
      <c r="N574" s="43">
        <v>21</v>
      </c>
    </row>
    <row r="575" spans="1:14" ht="30" x14ac:dyDescent="0.25">
      <c r="A575" s="56"/>
      <c r="B575" s="59"/>
      <c r="C575" s="59"/>
      <c r="D575" s="20" t="s">
        <v>121</v>
      </c>
      <c r="E575" s="20"/>
      <c r="F575" s="21">
        <v>221.3</v>
      </c>
      <c r="G575" s="21">
        <v>453</v>
      </c>
      <c r="H575" s="21">
        <v>221.3</v>
      </c>
      <c r="I575" s="21">
        <v>221.3</v>
      </c>
      <c r="J575" s="20" t="s">
        <v>891</v>
      </c>
      <c r="K575" s="22" t="s">
        <v>255</v>
      </c>
      <c r="L575" s="46">
        <v>17300</v>
      </c>
      <c r="M575" s="46">
        <v>17300</v>
      </c>
      <c r="N575" s="47">
        <v>17300</v>
      </c>
    </row>
    <row r="576" spans="1:14" x14ac:dyDescent="0.25">
      <c r="A576" s="56"/>
      <c r="B576" s="59"/>
      <c r="C576" s="59"/>
      <c r="D576" s="20" t="s">
        <v>125</v>
      </c>
      <c r="E576" s="20"/>
      <c r="F576" s="21">
        <v>19.899999999999999</v>
      </c>
      <c r="G576" s="21">
        <v>70.2</v>
      </c>
      <c r="H576" s="21">
        <v>0</v>
      </c>
      <c r="I576" s="21">
        <v>0</v>
      </c>
      <c r="J576" s="20" t="s">
        <v>892</v>
      </c>
      <c r="K576" s="22" t="s">
        <v>255</v>
      </c>
      <c r="L576" s="22">
        <v>4</v>
      </c>
      <c r="M576" s="22">
        <v>4</v>
      </c>
      <c r="N576" s="44">
        <v>4</v>
      </c>
    </row>
    <row r="577" spans="1:14" x14ac:dyDescent="0.25">
      <c r="A577" s="56"/>
      <c r="B577" s="59"/>
      <c r="C577" s="59"/>
      <c r="D577" s="20" t="s">
        <v>119</v>
      </c>
      <c r="E577" s="20"/>
      <c r="F577" s="21">
        <v>86.4</v>
      </c>
      <c r="G577" s="21">
        <v>351.9</v>
      </c>
      <c r="H577" s="21">
        <v>0</v>
      </c>
      <c r="I577" s="21">
        <v>0</v>
      </c>
      <c r="J577" s="20" t="s">
        <v>893</v>
      </c>
      <c r="K577" s="22" t="s">
        <v>255</v>
      </c>
      <c r="L577" s="22">
        <v>465</v>
      </c>
      <c r="M577" s="22">
        <v>465</v>
      </c>
      <c r="N577" s="44">
        <v>465</v>
      </c>
    </row>
    <row r="578" spans="1:14" x14ac:dyDescent="0.25">
      <c r="A578" s="56"/>
      <c r="B578" s="59"/>
      <c r="C578" s="59"/>
      <c r="D578" s="20" t="s">
        <v>35</v>
      </c>
      <c r="E578" s="20"/>
      <c r="F578" s="21">
        <v>90.2</v>
      </c>
      <c r="G578" s="21">
        <v>90.2</v>
      </c>
      <c r="H578" s="21">
        <v>0</v>
      </c>
      <c r="I578" s="21">
        <v>0</v>
      </c>
      <c r="J578" s="20" t="s">
        <v>894</v>
      </c>
      <c r="K578" s="22" t="s">
        <v>255</v>
      </c>
      <c r="L578" s="22">
        <v>14</v>
      </c>
      <c r="M578" s="22">
        <v>14</v>
      </c>
      <c r="N578" s="44">
        <v>14</v>
      </c>
    </row>
    <row r="579" spans="1:14" x14ac:dyDescent="0.25">
      <c r="A579" s="56"/>
      <c r="B579" s="59"/>
      <c r="C579" s="59"/>
      <c r="D579" s="20" t="s">
        <v>30</v>
      </c>
      <c r="E579" s="20"/>
      <c r="F579" s="21">
        <v>5488.7</v>
      </c>
      <c r="G579" s="21">
        <v>5203.1000000000004</v>
      </c>
      <c r="H579" s="21">
        <v>5488.7</v>
      </c>
      <c r="I579" s="21">
        <v>5488.7</v>
      </c>
      <c r="J579" s="20" t="s">
        <v>895</v>
      </c>
      <c r="K579" s="22" t="s">
        <v>255</v>
      </c>
      <c r="L579" s="22">
        <v>480</v>
      </c>
      <c r="M579" s="22">
        <v>500</v>
      </c>
      <c r="N579" s="44">
        <v>500</v>
      </c>
    </row>
    <row r="580" spans="1:14" ht="30" x14ac:dyDescent="0.25">
      <c r="A580" s="56"/>
      <c r="B580" s="59"/>
      <c r="C580" s="59"/>
      <c r="D580" s="20" t="s">
        <v>123</v>
      </c>
      <c r="E580" s="20"/>
      <c r="F580" s="21">
        <v>55.9</v>
      </c>
      <c r="G580" s="21">
        <v>59.1</v>
      </c>
      <c r="H580" s="21">
        <v>52.8</v>
      </c>
      <c r="I580" s="21">
        <v>42.3</v>
      </c>
      <c r="J580" s="20" t="s">
        <v>896</v>
      </c>
      <c r="K580" s="22" t="s">
        <v>255</v>
      </c>
      <c r="L580" s="22">
        <v>6</v>
      </c>
      <c r="M580" s="22">
        <v>8</v>
      </c>
      <c r="N580" s="44">
        <v>8</v>
      </c>
    </row>
    <row r="581" spans="1:14" ht="30" x14ac:dyDescent="0.25">
      <c r="A581" s="56"/>
      <c r="B581" s="59"/>
      <c r="C581" s="59"/>
      <c r="D581" s="20" t="s">
        <v>491</v>
      </c>
      <c r="E581" s="20"/>
      <c r="F581" s="21">
        <v>967</v>
      </c>
      <c r="G581" s="21">
        <v>967</v>
      </c>
      <c r="H581" s="21">
        <v>967</v>
      </c>
      <c r="I581" s="21">
        <v>967</v>
      </c>
      <c r="J581" s="20" t="s">
        <v>897</v>
      </c>
      <c r="K581" s="22" t="s">
        <v>255</v>
      </c>
      <c r="L581" s="22">
        <v>54</v>
      </c>
      <c r="M581" s="22">
        <v>140</v>
      </c>
      <c r="N581" s="44">
        <v>140</v>
      </c>
    </row>
    <row r="582" spans="1:14" ht="30.75" thickBot="1" x14ac:dyDescent="0.3">
      <c r="A582" s="57"/>
      <c r="B582" s="60"/>
      <c r="C582" s="60"/>
      <c r="D582" s="20" t="s">
        <v>128</v>
      </c>
      <c r="E582" s="20"/>
      <c r="F582" s="21">
        <v>612</v>
      </c>
      <c r="G582" s="21">
        <v>1036.9000000000001</v>
      </c>
      <c r="H582" s="21">
        <v>648.1</v>
      </c>
      <c r="I582" s="21">
        <v>680.6</v>
      </c>
      <c r="J582" s="20" t="s">
        <v>898</v>
      </c>
      <c r="K582" s="22" t="s">
        <v>20</v>
      </c>
      <c r="L582" s="22">
        <v>100</v>
      </c>
      <c r="M582" s="22">
        <v>100</v>
      </c>
      <c r="N582" s="44">
        <v>100</v>
      </c>
    </row>
    <row r="583" spans="1:14" x14ac:dyDescent="0.25">
      <c r="A583" s="55" t="s">
        <v>899</v>
      </c>
      <c r="B583" s="58" t="s">
        <v>900</v>
      </c>
      <c r="C583" s="58" t="s">
        <v>868</v>
      </c>
      <c r="D583" s="17"/>
      <c r="E583" s="17"/>
      <c r="F583" s="18">
        <f>SUM(F584:F585)</f>
        <v>993.5</v>
      </c>
      <c r="G583" s="18">
        <f>SUM(G584:G585)</f>
        <v>993.5</v>
      </c>
      <c r="H583" s="18">
        <f>SUM(H584:H585)</f>
        <v>993.5</v>
      </c>
      <c r="I583" s="18">
        <f>SUM(I584:I585)</f>
        <v>993.5</v>
      </c>
      <c r="J583" s="17" t="s">
        <v>901</v>
      </c>
      <c r="K583" s="19" t="s">
        <v>255</v>
      </c>
      <c r="L583" s="19">
        <v>250</v>
      </c>
      <c r="M583" s="19">
        <v>210</v>
      </c>
      <c r="N583" s="43">
        <v>210</v>
      </c>
    </row>
    <row r="584" spans="1:14" x14ac:dyDescent="0.25">
      <c r="A584" s="56"/>
      <c r="B584" s="59"/>
      <c r="C584" s="59"/>
      <c r="D584" s="20" t="s">
        <v>30</v>
      </c>
      <c r="E584" s="20"/>
      <c r="F584" s="21">
        <v>0</v>
      </c>
      <c r="G584" s="21">
        <v>0</v>
      </c>
      <c r="H584" s="21">
        <v>993.5</v>
      </c>
      <c r="I584" s="21">
        <v>993.5</v>
      </c>
      <c r="J584" s="20" t="s">
        <v>902</v>
      </c>
      <c r="K584" s="22" t="s">
        <v>255</v>
      </c>
      <c r="L584" s="22">
        <v>14</v>
      </c>
      <c r="M584" s="22">
        <v>13</v>
      </c>
      <c r="N584" s="44">
        <v>13</v>
      </c>
    </row>
    <row r="585" spans="1:14" ht="30.75" thickBot="1" x14ac:dyDescent="0.3">
      <c r="A585" s="57"/>
      <c r="B585" s="60"/>
      <c r="C585" s="60"/>
      <c r="D585" s="20" t="s">
        <v>35</v>
      </c>
      <c r="E585" s="20"/>
      <c r="F585" s="21">
        <v>993.5</v>
      </c>
      <c r="G585" s="21">
        <v>993.5</v>
      </c>
      <c r="H585" s="21">
        <v>0</v>
      </c>
      <c r="I585" s="21">
        <v>0</v>
      </c>
      <c r="J585" s="20" t="s">
        <v>903</v>
      </c>
      <c r="K585" s="22" t="s">
        <v>255</v>
      </c>
      <c r="L585" s="22">
        <v>8</v>
      </c>
      <c r="M585" s="22">
        <v>8</v>
      </c>
      <c r="N585" s="44">
        <v>8</v>
      </c>
    </row>
    <row r="586" spans="1:14" x14ac:dyDescent="0.25">
      <c r="A586" s="55" t="s">
        <v>904</v>
      </c>
      <c r="B586" s="58" t="s">
        <v>905</v>
      </c>
      <c r="C586" s="58" t="s">
        <v>868</v>
      </c>
      <c r="D586" s="17"/>
      <c r="E586" s="17"/>
      <c r="F586" s="18">
        <f>SUM(F587:F588)</f>
        <v>365.6</v>
      </c>
      <c r="G586" s="18">
        <f>SUM(G587:G588)</f>
        <v>292.10000000000002</v>
      </c>
      <c r="H586" s="18">
        <f>SUM(H587:H588)</f>
        <v>365.6</v>
      </c>
      <c r="I586" s="18">
        <f>SUM(I587:I588)</f>
        <v>365.6</v>
      </c>
      <c r="J586" s="17" t="s">
        <v>906</v>
      </c>
      <c r="K586" s="19" t="s">
        <v>255</v>
      </c>
      <c r="L586" s="19">
        <v>450</v>
      </c>
      <c r="M586" s="19">
        <v>450</v>
      </c>
      <c r="N586" s="43">
        <v>450</v>
      </c>
    </row>
    <row r="587" spans="1:14" ht="30" x14ac:dyDescent="0.25">
      <c r="A587" s="56"/>
      <c r="B587" s="59"/>
      <c r="C587" s="59"/>
      <c r="D587" s="20" t="s">
        <v>30</v>
      </c>
      <c r="E587" s="20"/>
      <c r="F587" s="21">
        <v>138.4</v>
      </c>
      <c r="G587" s="21">
        <v>100.4</v>
      </c>
      <c r="H587" s="21">
        <v>138.4</v>
      </c>
      <c r="I587" s="21">
        <v>138.4</v>
      </c>
      <c r="J587" s="20" t="s">
        <v>907</v>
      </c>
      <c r="K587" s="22" t="s">
        <v>255</v>
      </c>
      <c r="L587" s="22">
        <v>13</v>
      </c>
      <c r="M587" s="22">
        <v>13</v>
      </c>
      <c r="N587" s="44">
        <v>14</v>
      </c>
    </row>
    <row r="588" spans="1:14" ht="15.75" thickBot="1" x14ac:dyDescent="0.3">
      <c r="A588" s="57"/>
      <c r="B588" s="60"/>
      <c r="C588" s="60"/>
      <c r="D588" s="20" t="s">
        <v>121</v>
      </c>
      <c r="E588" s="20"/>
      <c r="F588" s="21">
        <v>227.2</v>
      </c>
      <c r="G588" s="21">
        <v>191.7</v>
      </c>
      <c r="H588" s="21">
        <v>227.2</v>
      </c>
      <c r="I588" s="21">
        <v>227.2</v>
      </c>
      <c r="J588" s="20"/>
      <c r="K588" s="22"/>
      <c r="L588" s="22"/>
      <c r="M588" s="22"/>
      <c r="N588" s="44"/>
    </row>
    <row r="589" spans="1:14" x14ac:dyDescent="0.25">
      <c r="A589" s="55" t="s">
        <v>908</v>
      </c>
      <c r="B589" s="58" t="s">
        <v>909</v>
      </c>
      <c r="C589" s="58" t="s">
        <v>868</v>
      </c>
      <c r="D589" s="17"/>
      <c r="E589" s="17"/>
      <c r="F589" s="18">
        <f>SUM(F590:F591)</f>
        <v>333.20000000000005</v>
      </c>
      <c r="G589" s="18">
        <f>SUM(G590:G591)</f>
        <v>334.5</v>
      </c>
      <c r="H589" s="18">
        <f>SUM(H590:H591)</f>
        <v>333.20000000000005</v>
      </c>
      <c r="I589" s="18">
        <f>SUM(I590:I591)</f>
        <v>333.20000000000005</v>
      </c>
      <c r="J589" s="17" t="s">
        <v>910</v>
      </c>
      <c r="K589" s="19" t="s">
        <v>255</v>
      </c>
      <c r="L589" s="19">
        <v>260</v>
      </c>
      <c r="M589" s="19">
        <v>260</v>
      </c>
      <c r="N589" s="43">
        <v>280</v>
      </c>
    </row>
    <row r="590" spans="1:14" x14ac:dyDescent="0.25">
      <c r="A590" s="56"/>
      <c r="B590" s="59"/>
      <c r="C590" s="59"/>
      <c r="D590" s="20" t="s">
        <v>121</v>
      </c>
      <c r="E590" s="20"/>
      <c r="F590" s="21">
        <v>192.9</v>
      </c>
      <c r="G590" s="21">
        <v>194.2</v>
      </c>
      <c r="H590" s="21">
        <v>192.9</v>
      </c>
      <c r="I590" s="21">
        <v>192.9</v>
      </c>
      <c r="J590" s="20" t="s">
        <v>911</v>
      </c>
      <c r="K590" s="22" t="s">
        <v>255</v>
      </c>
      <c r="L590" s="22">
        <v>11</v>
      </c>
      <c r="M590" s="22">
        <v>11</v>
      </c>
      <c r="N590" s="44">
        <v>12</v>
      </c>
    </row>
    <row r="591" spans="1:14" ht="30.75" thickBot="1" x14ac:dyDescent="0.3">
      <c r="A591" s="57"/>
      <c r="B591" s="60"/>
      <c r="C591" s="60"/>
      <c r="D591" s="20" t="s">
        <v>30</v>
      </c>
      <c r="E591" s="20"/>
      <c r="F591" s="21">
        <v>140.30000000000001</v>
      </c>
      <c r="G591" s="21">
        <v>140.30000000000001</v>
      </c>
      <c r="H591" s="21">
        <v>140.30000000000001</v>
      </c>
      <c r="I591" s="21">
        <v>140.30000000000001</v>
      </c>
      <c r="J591" s="20" t="s">
        <v>912</v>
      </c>
      <c r="K591" s="22" t="s">
        <v>20</v>
      </c>
      <c r="L591" s="22">
        <v>15</v>
      </c>
      <c r="M591" s="22">
        <v>15</v>
      </c>
      <c r="N591" s="44">
        <v>15</v>
      </c>
    </row>
    <row r="592" spans="1:14" x14ac:dyDescent="0.25">
      <c r="A592" s="55" t="s">
        <v>913</v>
      </c>
      <c r="B592" s="58" t="s">
        <v>914</v>
      </c>
      <c r="C592" s="58" t="s">
        <v>915</v>
      </c>
      <c r="D592" s="17" t="s">
        <v>30</v>
      </c>
      <c r="E592" s="17"/>
      <c r="F592" s="18">
        <f>SUM(F593:F593)+200</f>
        <v>200</v>
      </c>
      <c r="G592" s="18">
        <f>SUM(G593:G593)+155</f>
        <v>155</v>
      </c>
      <c r="H592" s="18">
        <f>SUM(H593:H593)+200</f>
        <v>200</v>
      </c>
      <c r="I592" s="18">
        <f>SUM(I593:I593)+200</f>
        <v>200</v>
      </c>
      <c r="J592" s="17" t="s">
        <v>916</v>
      </c>
      <c r="K592" s="19" t="s">
        <v>255</v>
      </c>
      <c r="L592" s="19">
        <v>800</v>
      </c>
      <c r="M592" s="19">
        <v>800</v>
      </c>
      <c r="N592" s="43">
        <v>800</v>
      </c>
    </row>
    <row r="593" spans="1:14" ht="30.75" thickBot="1" x14ac:dyDescent="0.3">
      <c r="A593" s="57"/>
      <c r="B593" s="60"/>
      <c r="C593" s="60"/>
      <c r="D593" s="20"/>
      <c r="E593" s="20"/>
      <c r="F593" s="21">
        <v>0</v>
      </c>
      <c r="G593" s="21">
        <v>0</v>
      </c>
      <c r="H593" s="21">
        <v>0</v>
      </c>
      <c r="I593" s="21">
        <v>0</v>
      </c>
      <c r="J593" s="20" t="s">
        <v>917</v>
      </c>
      <c r="K593" s="22" t="s">
        <v>20</v>
      </c>
      <c r="L593" s="22">
        <v>100</v>
      </c>
      <c r="M593" s="22">
        <v>100</v>
      </c>
      <c r="N593" s="44">
        <v>100</v>
      </c>
    </row>
    <row r="594" spans="1:14" x14ac:dyDescent="0.25">
      <c r="A594" s="55" t="s">
        <v>918</v>
      </c>
      <c r="B594" s="58" t="s">
        <v>919</v>
      </c>
      <c r="C594" s="58" t="s">
        <v>920</v>
      </c>
      <c r="D594" s="17"/>
      <c r="E594" s="17"/>
      <c r="F594" s="18">
        <f>SUM(F595:F597)</f>
        <v>124.4</v>
      </c>
      <c r="G594" s="18">
        <f>SUM(G595:G597)</f>
        <v>122.1</v>
      </c>
      <c r="H594" s="18">
        <f>SUM(H595:H597)</f>
        <v>49.4</v>
      </c>
      <c r="I594" s="18">
        <f>SUM(I595:I597)</f>
        <v>49.4</v>
      </c>
      <c r="J594" s="17" t="s">
        <v>906</v>
      </c>
      <c r="K594" s="19" t="s">
        <v>255</v>
      </c>
      <c r="L594" s="19">
        <v>100</v>
      </c>
      <c r="M594" s="19"/>
      <c r="N594" s="43"/>
    </row>
    <row r="595" spans="1:14" ht="45" x14ac:dyDescent="0.25">
      <c r="A595" s="56"/>
      <c r="B595" s="59"/>
      <c r="C595" s="59"/>
      <c r="D595" s="20" t="s">
        <v>136</v>
      </c>
      <c r="E595" s="20"/>
      <c r="F595" s="21">
        <v>72.400000000000006</v>
      </c>
      <c r="G595" s="21">
        <v>72.400000000000006</v>
      </c>
      <c r="H595" s="21">
        <v>0</v>
      </c>
      <c r="I595" s="21">
        <v>0</v>
      </c>
      <c r="J595" s="20" t="s">
        <v>921</v>
      </c>
      <c r="K595" s="22" t="s">
        <v>255</v>
      </c>
      <c r="L595" s="22">
        <v>2</v>
      </c>
      <c r="M595" s="22">
        <v>2</v>
      </c>
      <c r="N595" s="44">
        <v>2</v>
      </c>
    </row>
    <row r="596" spans="1:14" x14ac:dyDescent="0.25">
      <c r="A596" s="56"/>
      <c r="B596" s="59"/>
      <c r="C596" s="59"/>
      <c r="D596" s="20" t="s">
        <v>35</v>
      </c>
      <c r="E596" s="20"/>
      <c r="F596" s="21">
        <v>2.6</v>
      </c>
      <c r="G596" s="21">
        <v>0.3</v>
      </c>
      <c r="H596" s="21"/>
      <c r="I596" s="21"/>
      <c r="J596" s="20"/>
      <c r="K596" s="22"/>
      <c r="L596" s="22"/>
      <c r="M596" s="22"/>
      <c r="N596" s="44"/>
    </row>
    <row r="597" spans="1:14" ht="15.75" thickBot="1" x14ac:dyDescent="0.3">
      <c r="A597" s="57"/>
      <c r="B597" s="60"/>
      <c r="C597" s="60"/>
      <c r="D597" s="20" t="s">
        <v>121</v>
      </c>
      <c r="E597" s="20"/>
      <c r="F597" s="21">
        <v>49.4</v>
      </c>
      <c r="G597" s="21">
        <v>49.4</v>
      </c>
      <c r="H597" s="21">
        <v>49.4</v>
      </c>
      <c r="I597" s="21">
        <v>49.4</v>
      </c>
      <c r="J597" s="20"/>
      <c r="K597" s="22"/>
      <c r="L597" s="22"/>
      <c r="M597" s="22"/>
      <c r="N597" s="44"/>
    </row>
    <row r="598" spans="1:14" ht="30" x14ac:dyDescent="0.25">
      <c r="A598" s="55" t="s">
        <v>922</v>
      </c>
      <c r="B598" s="58" t="s">
        <v>923</v>
      </c>
      <c r="C598" s="58" t="s">
        <v>924</v>
      </c>
      <c r="D598" s="17"/>
      <c r="E598" s="17"/>
      <c r="F598" s="18">
        <f>SUM(F599:F600)</f>
        <v>260.7</v>
      </c>
      <c r="G598" s="18">
        <f>SUM(G599:G600)</f>
        <v>162.80000000000001</v>
      </c>
      <c r="H598" s="18">
        <f>SUM(H599:H600)</f>
        <v>0</v>
      </c>
      <c r="I598" s="18">
        <f>SUM(I599:I600)</f>
        <v>0</v>
      </c>
      <c r="J598" s="17" t="s">
        <v>925</v>
      </c>
      <c r="K598" s="19" t="s">
        <v>24</v>
      </c>
      <c r="L598" s="19">
        <v>1</v>
      </c>
      <c r="M598" s="19"/>
      <c r="N598" s="43"/>
    </row>
    <row r="599" spans="1:14" x14ac:dyDescent="0.25">
      <c r="A599" s="56"/>
      <c r="B599" s="59"/>
      <c r="C599" s="59"/>
      <c r="D599" s="20" t="s">
        <v>35</v>
      </c>
      <c r="E599" s="20"/>
      <c r="F599" s="21">
        <v>230.7</v>
      </c>
      <c r="G599" s="21">
        <v>162.80000000000001</v>
      </c>
      <c r="H599" s="21">
        <v>0</v>
      </c>
      <c r="I599" s="21">
        <v>0</v>
      </c>
      <c r="J599" s="20" t="s">
        <v>926</v>
      </c>
      <c r="K599" s="22" t="s">
        <v>24</v>
      </c>
      <c r="L599" s="22">
        <v>70</v>
      </c>
      <c r="M599" s="22"/>
      <c r="N599" s="44"/>
    </row>
    <row r="600" spans="1:14" ht="15.75" thickBot="1" x14ac:dyDescent="0.3">
      <c r="A600" s="57"/>
      <c r="B600" s="60"/>
      <c r="C600" s="60"/>
      <c r="D600" s="20" t="s">
        <v>30</v>
      </c>
      <c r="E600" s="20"/>
      <c r="F600" s="21">
        <v>30</v>
      </c>
      <c r="G600" s="21">
        <v>0</v>
      </c>
      <c r="H600" s="21">
        <v>0</v>
      </c>
      <c r="I600" s="21">
        <v>0</v>
      </c>
      <c r="J600" s="20" t="s">
        <v>927</v>
      </c>
      <c r="K600" s="22" t="s">
        <v>24</v>
      </c>
      <c r="L600" s="22">
        <v>1</v>
      </c>
      <c r="M600" s="22"/>
      <c r="N600" s="44"/>
    </row>
    <row r="601" spans="1:14" x14ac:dyDescent="0.25">
      <c r="A601" s="55" t="s">
        <v>928</v>
      </c>
      <c r="B601" s="58" t="s">
        <v>929</v>
      </c>
      <c r="C601" s="58" t="s">
        <v>930</v>
      </c>
      <c r="D601" s="17" t="s">
        <v>30</v>
      </c>
      <c r="E601" s="17"/>
      <c r="F601" s="18">
        <f>SUM(F602:F604)+315.6</f>
        <v>315.60000000000002</v>
      </c>
      <c r="G601" s="18">
        <f>SUM(G602:G604)+387.3</f>
        <v>387.3</v>
      </c>
      <c r="H601" s="18">
        <f>SUM(H602:H604)+315.6</f>
        <v>315.60000000000002</v>
      </c>
      <c r="I601" s="18">
        <f>SUM(I602:I604)+315.6</f>
        <v>315.60000000000002</v>
      </c>
      <c r="J601" s="17" t="s">
        <v>931</v>
      </c>
      <c r="K601" s="19" t="s">
        <v>255</v>
      </c>
      <c r="L601" s="19">
        <v>8</v>
      </c>
      <c r="M601" s="19">
        <v>8</v>
      </c>
      <c r="N601" s="43">
        <v>9</v>
      </c>
    </row>
    <row r="602" spans="1:14" x14ac:dyDescent="0.25">
      <c r="A602" s="56"/>
      <c r="B602" s="59"/>
      <c r="C602" s="59"/>
      <c r="D602" s="20"/>
      <c r="E602" s="20"/>
      <c r="F602" s="21">
        <v>0</v>
      </c>
      <c r="G602" s="21">
        <v>0</v>
      </c>
      <c r="H602" s="21">
        <v>0</v>
      </c>
      <c r="I602" s="21">
        <v>0</v>
      </c>
      <c r="J602" s="20" t="s">
        <v>932</v>
      </c>
      <c r="K602" s="22" t="s">
        <v>255</v>
      </c>
      <c r="L602" s="22">
        <v>14</v>
      </c>
      <c r="M602" s="22">
        <v>14</v>
      </c>
      <c r="N602" s="44">
        <v>16</v>
      </c>
    </row>
    <row r="603" spans="1:14" x14ac:dyDescent="0.25">
      <c r="A603" s="56"/>
      <c r="B603" s="59"/>
      <c r="C603" s="59"/>
      <c r="D603" s="20"/>
      <c r="E603" s="20"/>
      <c r="F603" s="21">
        <v>0</v>
      </c>
      <c r="G603" s="21">
        <v>0</v>
      </c>
      <c r="H603" s="21">
        <v>0</v>
      </c>
      <c r="I603" s="21">
        <v>0</v>
      </c>
      <c r="J603" s="20" t="s">
        <v>933</v>
      </c>
      <c r="K603" s="22" t="s">
        <v>255</v>
      </c>
      <c r="L603" s="22">
        <v>40</v>
      </c>
      <c r="M603" s="22">
        <v>40</v>
      </c>
      <c r="N603" s="44">
        <v>50</v>
      </c>
    </row>
    <row r="604" spans="1:14" ht="15.75" thickBot="1" x14ac:dyDescent="0.3">
      <c r="A604" s="57"/>
      <c r="B604" s="60"/>
      <c r="C604" s="60"/>
      <c r="D604" s="20"/>
      <c r="E604" s="20"/>
      <c r="F604" s="21">
        <v>0</v>
      </c>
      <c r="G604" s="21">
        <v>0</v>
      </c>
      <c r="H604" s="21">
        <v>0</v>
      </c>
      <c r="I604" s="21">
        <v>0</v>
      </c>
      <c r="J604" s="20" t="s">
        <v>934</v>
      </c>
      <c r="K604" s="22" t="s">
        <v>255</v>
      </c>
      <c r="L604" s="22">
        <v>245</v>
      </c>
      <c r="M604" s="22">
        <v>245</v>
      </c>
      <c r="N604" s="44">
        <v>260</v>
      </c>
    </row>
    <row r="605" spans="1:14" ht="28.5" customHeight="1" thickBot="1" x14ac:dyDescent="0.3">
      <c r="A605" s="15" t="s">
        <v>935</v>
      </c>
      <c r="B605" s="72" t="s">
        <v>936</v>
      </c>
      <c r="C605" s="73"/>
      <c r="D605" s="73"/>
      <c r="E605" s="74"/>
      <c r="F605" s="16">
        <f>F606+F607+F611+F612+F617+F620</f>
        <v>6238.4</v>
      </c>
      <c r="G605" s="16">
        <f>G606+G607+G611+G612+G617+G620</f>
        <v>6431.7000000000007</v>
      </c>
      <c r="H605" s="16">
        <f>H606+H607+H611+H612+H617+H620</f>
        <v>1930</v>
      </c>
      <c r="I605" s="16">
        <f>I606+I607+I611+I612+I617+I620</f>
        <v>1070</v>
      </c>
      <c r="J605" s="61"/>
      <c r="K605" s="62"/>
      <c r="L605" s="62"/>
      <c r="M605" s="62"/>
      <c r="N605" s="63"/>
    </row>
    <row r="606" spans="1:14" ht="75.75" thickBot="1" x14ac:dyDescent="0.3">
      <c r="A606" s="23" t="s">
        <v>937</v>
      </c>
      <c r="B606" s="24" t="s">
        <v>938</v>
      </c>
      <c r="C606" s="17" t="s">
        <v>939</v>
      </c>
      <c r="D606" s="17" t="s">
        <v>35</v>
      </c>
      <c r="E606" s="17"/>
      <c r="F606" s="25">
        <v>132.6</v>
      </c>
      <c r="G606" s="25">
        <v>132.6</v>
      </c>
      <c r="H606" s="25">
        <v>0</v>
      </c>
      <c r="I606" s="25">
        <v>0</v>
      </c>
      <c r="J606" s="17" t="s">
        <v>940</v>
      </c>
      <c r="K606" s="19" t="s">
        <v>20</v>
      </c>
      <c r="L606" s="19">
        <v>100</v>
      </c>
      <c r="M606" s="19"/>
      <c r="N606" s="43"/>
    </row>
    <row r="607" spans="1:14" ht="51" customHeight="1" x14ac:dyDescent="0.25">
      <c r="A607" s="55" t="s">
        <v>941</v>
      </c>
      <c r="B607" s="58" t="s">
        <v>942</v>
      </c>
      <c r="C607" s="58" t="s">
        <v>943</v>
      </c>
      <c r="D607" s="17"/>
      <c r="E607" s="17"/>
      <c r="F607" s="18">
        <f>SUM(F608:F610)</f>
        <v>870.6</v>
      </c>
      <c r="G607" s="18">
        <f>SUM(G608:G610)</f>
        <v>641.20000000000005</v>
      </c>
      <c r="H607" s="18">
        <f>SUM(H608:H610)</f>
        <v>0</v>
      </c>
      <c r="I607" s="18">
        <f>SUM(I608:I610)</f>
        <v>0</v>
      </c>
      <c r="J607" s="17" t="s">
        <v>765</v>
      </c>
      <c r="K607" s="19" t="s">
        <v>24</v>
      </c>
      <c r="L607" s="19">
        <v>1</v>
      </c>
      <c r="M607" s="19"/>
      <c r="N607" s="43"/>
    </row>
    <row r="608" spans="1:14" x14ac:dyDescent="0.25">
      <c r="A608" s="56"/>
      <c r="B608" s="59"/>
      <c r="C608" s="59"/>
      <c r="D608" s="20" t="s">
        <v>30</v>
      </c>
      <c r="E608" s="20"/>
      <c r="F608" s="21">
        <v>393.1</v>
      </c>
      <c r="G608" s="21">
        <v>163.69999999999999</v>
      </c>
      <c r="H608" s="21">
        <v>0</v>
      </c>
      <c r="I608" s="21">
        <v>0</v>
      </c>
      <c r="J608" s="20"/>
      <c r="K608" s="22"/>
      <c r="L608" s="22"/>
      <c r="M608" s="22"/>
      <c r="N608" s="44"/>
    </row>
    <row r="609" spans="1:14" x14ac:dyDescent="0.25">
      <c r="A609" s="56"/>
      <c r="B609" s="59"/>
      <c r="C609" s="59"/>
      <c r="D609" s="20" t="s">
        <v>121</v>
      </c>
      <c r="E609" s="20"/>
      <c r="F609" s="21">
        <v>110.2</v>
      </c>
      <c r="G609" s="21">
        <v>110.2</v>
      </c>
      <c r="H609" s="21">
        <v>0</v>
      </c>
      <c r="I609" s="21">
        <v>0</v>
      </c>
      <c r="J609" s="20"/>
      <c r="K609" s="22"/>
      <c r="L609" s="22"/>
      <c r="M609" s="22"/>
      <c r="N609" s="44"/>
    </row>
    <row r="610" spans="1:14" ht="15.75" thickBot="1" x14ac:dyDescent="0.3">
      <c r="A610" s="57"/>
      <c r="B610" s="60"/>
      <c r="C610" s="60"/>
      <c r="D610" s="20" t="s">
        <v>144</v>
      </c>
      <c r="E610" s="20"/>
      <c r="F610" s="21">
        <v>367.3</v>
      </c>
      <c r="G610" s="21">
        <v>367.3</v>
      </c>
      <c r="H610" s="21">
        <v>0</v>
      </c>
      <c r="I610" s="21">
        <v>0</v>
      </c>
      <c r="J610" s="20"/>
      <c r="K610" s="22"/>
      <c r="L610" s="22"/>
      <c r="M610" s="22"/>
      <c r="N610" s="44"/>
    </row>
    <row r="611" spans="1:14" ht="40.5" customHeight="1" thickBot="1" x14ac:dyDescent="0.3">
      <c r="A611" s="23" t="s">
        <v>944</v>
      </c>
      <c r="B611" s="24" t="s">
        <v>945</v>
      </c>
      <c r="C611" s="17" t="s">
        <v>946</v>
      </c>
      <c r="D611" s="17" t="s">
        <v>30</v>
      </c>
      <c r="E611" s="17" t="s">
        <v>847</v>
      </c>
      <c r="F611" s="25">
        <v>0</v>
      </c>
      <c r="G611" s="25">
        <v>0</v>
      </c>
      <c r="H611" s="25">
        <v>1930</v>
      </c>
      <c r="I611" s="25">
        <v>1070</v>
      </c>
      <c r="J611" s="17" t="s">
        <v>333</v>
      </c>
      <c r="K611" s="19" t="s">
        <v>20</v>
      </c>
      <c r="L611" s="19"/>
      <c r="M611" s="19">
        <v>50</v>
      </c>
      <c r="N611" s="43">
        <v>100</v>
      </c>
    </row>
    <row r="612" spans="1:14" ht="30" x14ac:dyDescent="0.25">
      <c r="A612" s="55" t="s">
        <v>947</v>
      </c>
      <c r="B612" s="58" t="s">
        <v>948</v>
      </c>
      <c r="C612" s="58" t="s">
        <v>949</v>
      </c>
      <c r="D612" s="17"/>
      <c r="E612" s="17"/>
      <c r="F612" s="18">
        <f>SUM(F613:F616)</f>
        <v>5143.5</v>
      </c>
      <c r="G612" s="18">
        <f>SUM(G613:G616)</f>
        <v>5575.8</v>
      </c>
      <c r="H612" s="18">
        <f>SUM(H613:H616)</f>
        <v>0</v>
      </c>
      <c r="I612" s="18">
        <f>SUM(I613:I616)</f>
        <v>0</v>
      </c>
      <c r="J612" s="17" t="s">
        <v>950</v>
      </c>
      <c r="K612" s="19" t="s">
        <v>24</v>
      </c>
      <c r="L612" s="19">
        <v>4</v>
      </c>
      <c r="M612" s="19"/>
      <c r="N612" s="43"/>
    </row>
    <row r="613" spans="1:14" ht="66" customHeight="1" x14ac:dyDescent="0.25">
      <c r="A613" s="56"/>
      <c r="B613" s="59"/>
      <c r="C613" s="59"/>
      <c r="D613" s="20" t="s">
        <v>121</v>
      </c>
      <c r="E613" s="20"/>
      <c r="F613" s="21">
        <v>817.4</v>
      </c>
      <c r="G613" s="21">
        <v>817.4</v>
      </c>
      <c r="H613" s="21">
        <v>0</v>
      </c>
      <c r="I613" s="21">
        <v>0</v>
      </c>
      <c r="J613" s="20" t="s">
        <v>951</v>
      </c>
      <c r="K613" s="22" t="s">
        <v>24</v>
      </c>
      <c r="L613" s="22">
        <v>1</v>
      </c>
      <c r="M613" s="22"/>
      <c r="N613" s="44"/>
    </row>
    <row r="614" spans="1:14" x14ac:dyDescent="0.25">
      <c r="A614" s="56"/>
      <c r="B614" s="59"/>
      <c r="C614" s="59"/>
      <c r="D614" s="20" t="s">
        <v>136</v>
      </c>
      <c r="E614" s="20"/>
      <c r="F614" s="21">
        <v>3288.8</v>
      </c>
      <c r="G614" s="21">
        <v>3288.8</v>
      </c>
      <c r="H614" s="21">
        <v>0</v>
      </c>
      <c r="I614" s="21">
        <v>0</v>
      </c>
      <c r="J614" s="20" t="s">
        <v>333</v>
      </c>
      <c r="K614" s="22" t="s">
        <v>20</v>
      </c>
      <c r="L614" s="22">
        <v>100</v>
      </c>
      <c r="M614" s="22"/>
      <c r="N614" s="44"/>
    </row>
    <row r="615" spans="1:14" x14ac:dyDescent="0.25">
      <c r="A615" s="56"/>
      <c r="B615" s="59"/>
      <c r="C615" s="59"/>
      <c r="D615" s="20" t="s">
        <v>35</v>
      </c>
      <c r="E615" s="20"/>
      <c r="F615" s="21">
        <v>1037.3</v>
      </c>
      <c r="G615" s="21">
        <v>1063.8</v>
      </c>
      <c r="H615" s="21"/>
      <c r="I615" s="21"/>
      <c r="J615" s="20"/>
      <c r="K615" s="22"/>
      <c r="L615" s="22"/>
      <c r="M615" s="22"/>
      <c r="N615" s="44"/>
    </row>
    <row r="616" spans="1:14" ht="15.75" thickBot="1" x14ac:dyDescent="0.3">
      <c r="A616" s="57"/>
      <c r="B616" s="60"/>
      <c r="C616" s="60"/>
      <c r="D616" s="20" t="s">
        <v>30</v>
      </c>
      <c r="E616" s="20"/>
      <c r="F616" s="21"/>
      <c r="G616" s="21">
        <v>405.8</v>
      </c>
      <c r="H616" s="21"/>
      <c r="I616" s="21"/>
      <c r="J616" s="20"/>
      <c r="K616" s="22"/>
      <c r="L616" s="22"/>
      <c r="M616" s="22"/>
      <c r="N616" s="44"/>
    </row>
    <row r="617" spans="1:14" ht="30" customHeight="1" x14ac:dyDescent="0.25">
      <c r="A617" s="55" t="s">
        <v>952</v>
      </c>
      <c r="B617" s="58" t="s">
        <v>953</v>
      </c>
      <c r="C617" s="58" t="s">
        <v>954</v>
      </c>
      <c r="D617" s="17"/>
      <c r="E617" s="17"/>
      <c r="F617" s="18">
        <f>SUM(F618:F619)</f>
        <v>30.7</v>
      </c>
      <c r="G617" s="18">
        <f>SUM(G618:G619)</f>
        <v>21.099999999999998</v>
      </c>
      <c r="H617" s="18">
        <f>SUM(H618:H619)</f>
        <v>0</v>
      </c>
      <c r="I617" s="18">
        <f>SUM(I618:I619)</f>
        <v>0</v>
      </c>
      <c r="J617" s="17" t="s">
        <v>753</v>
      </c>
      <c r="K617" s="19" t="s">
        <v>211</v>
      </c>
      <c r="L617" s="19">
        <v>2</v>
      </c>
      <c r="M617" s="19"/>
      <c r="N617" s="43"/>
    </row>
    <row r="618" spans="1:14" x14ac:dyDescent="0.25">
      <c r="A618" s="56"/>
      <c r="B618" s="59"/>
      <c r="C618" s="59"/>
      <c r="D618" s="20" t="s">
        <v>35</v>
      </c>
      <c r="E618" s="20"/>
      <c r="F618" s="21">
        <v>12</v>
      </c>
      <c r="G618" s="21">
        <v>2.4</v>
      </c>
      <c r="H618" s="21">
        <v>0</v>
      </c>
      <c r="I618" s="21">
        <v>0</v>
      </c>
      <c r="J618" s="20"/>
      <c r="K618" s="22"/>
      <c r="L618" s="22"/>
      <c r="M618" s="22"/>
      <c r="N618" s="44"/>
    </row>
    <row r="619" spans="1:14" ht="15.75" thickBot="1" x14ac:dyDescent="0.3">
      <c r="A619" s="57"/>
      <c r="B619" s="60"/>
      <c r="C619" s="60"/>
      <c r="D619" s="20" t="s">
        <v>136</v>
      </c>
      <c r="E619" s="20"/>
      <c r="F619" s="21">
        <v>18.7</v>
      </c>
      <c r="G619" s="21">
        <v>18.7</v>
      </c>
      <c r="H619" s="21">
        <v>0</v>
      </c>
      <c r="I619" s="21">
        <v>0</v>
      </c>
      <c r="J619" s="20"/>
      <c r="K619" s="22"/>
      <c r="L619" s="22"/>
      <c r="M619" s="22"/>
      <c r="N619" s="44"/>
    </row>
    <row r="620" spans="1:14" ht="30" x14ac:dyDescent="0.25">
      <c r="A620" s="55" t="s">
        <v>955</v>
      </c>
      <c r="B620" s="100" t="s">
        <v>956</v>
      </c>
      <c r="C620" s="58" t="s">
        <v>957</v>
      </c>
      <c r="D620" s="17"/>
      <c r="E620" s="17"/>
      <c r="F620" s="18">
        <f>SUM(F621:F622)</f>
        <v>61</v>
      </c>
      <c r="G620" s="18">
        <f>SUM(G621:G622)</f>
        <v>61</v>
      </c>
      <c r="H620" s="18">
        <f>SUM(H621:H622)</f>
        <v>0</v>
      </c>
      <c r="I620" s="18">
        <f>SUM(I621:I622)</f>
        <v>0</v>
      </c>
      <c r="J620" s="17" t="s">
        <v>958</v>
      </c>
      <c r="K620" s="19" t="s">
        <v>20</v>
      </c>
      <c r="L620" s="19">
        <v>100</v>
      </c>
      <c r="M620" s="19"/>
      <c r="N620" s="43"/>
    </row>
    <row r="621" spans="1:14" ht="30" x14ac:dyDescent="0.25">
      <c r="A621" s="56"/>
      <c r="B621" s="101"/>
      <c r="C621" s="59"/>
      <c r="D621" s="20" t="s">
        <v>30</v>
      </c>
      <c r="E621" s="20"/>
      <c r="F621" s="21">
        <v>50</v>
      </c>
      <c r="G621" s="21">
        <v>50</v>
      </c>
      <c r="H621" s="21">
        <v>0</v>
      </c>
      <c r="I621" s="21">
        <v>0</v>
      </c>
      <c r="J621" s="20" t="s">
        <v>959</v>
      </c>
      <c r="K621" s="22" t="s">
        <v>20</v>
      </c>
      <c r="L621" s="22">
        <v>100</v>
      </c>
      <c r="M621" s="22"/>
      <c r="N621" s="44"/>
    </row>
    <row r="622" spans="1:14" ht="15.75" thickBot="1" x14ac:dyDescent="0.3">
      <c r="A622" s="57"/>
      <c r="B622" s="102"/>
      <c r="C622" s="60"/>
      <c r="D622" s="20" t="s">
        <v>35</v>
      </c>
      <c r="E622" s="20"/>
      <c r="F622" s="21">
        <v>11</v>
      </c>
      <c r="G622" s="21">
        <v>11</v>
      </c>
      <c r="H622" s="21"/>
      <c r="I622" s="21"/>
      <c r="J622" s="20"/>
      <c r="K622" s="22"/>
      <c r="L622" s="22"/>
      <c r="M622" s="22"/>
      <c r="N622" s="44"/>
    </row>
    <row r="623" spans="1:14" ht="31.5" customHeight="1" thickBot="1" x14ac:dyDescent="0.3">
      <c r="A623" s="15" t="s">
        <v>960</v>
      </c>
      <c r="B623" s="72" t="s">
        <v>961</v>
      </c>
      <c r="C623" s="73"/>
      <c r="D623" s="73"/>
      <c r="E623" s="74"/>
      <c r="F623" s="16">
        <f>F624+F629+F631+F633+F634+F636+F639+F642</f>
        <v>42075.399999999994</v>
      </c>
      <c r="G623" s="16">
        <f>G624+G629+G631+G633+G634+G636+G639+G642</f>
        <v>47110.1</v>
      </c>
      <c r="H623" s="16">
        <f>H624+H629+H631+H633+H634+H636+H639+H642</f>
        <v>40615.399999999994</v>
      </c>
      <c r="I623" s="16">
        <f>I624+I629+I631+I633+I634+I636+I639+I642</f>
        <v>40615.399999999994</v>
      </c>
      <c r="J623" s="61"/>
      <c r="K623" s="62"/>
      <c r="L623" s="62"/>
      <c r="M623" s="62"/>
      <c r="N623" s="63"/>
    </row>
    <row r="624" spans="1:14" x14ac:dyDescent="0.25">
      <c r="A624" s="55" t="s">
        <v>962</v>
      </c>
      <c r="B624" s="58" t="s">
        <v>963</v>
      </c>
      <c r="C624" s="58" t="s">
        <v>964</v>
      </c>
      <c r="D624" s="17"/>
      <c r="E624" s="17"/>
      <c r="F624" s="18">
        <f>SUM(F625:F628)</f>
        <v>6177.5</v>
      </c>
      <c r="G624" s="18">
        <f>SUM(G625:G628)</f>
        <v>9182.9</v>
      </c>
      <c r="H624" s="18">
        <f>SUM(H625:H628)</f>
        <v>5307.5</v>
      </c>
      <c r="I624" s="18">
        <f>SUM(I625:I628)</f>
        <v>5307.5</v>
      </c>
      <c r="J624" s="17" t="s">
        <v>965</v>
      </c>
      <c r="K624" s="19" t="s">
        <v>255</v>
      </c>
      <c r="L624" s="50">
        <v>17000</v>
      </c>
      <c r="M624" s="50">
        <v>17000</v>
      </c>
      <c r="N624" s="51">
        <v>17000</v>
      </c>
    </row>
    <row r="625" spans="1:14" x14ac:dyDescent="0.25">
      <c r="A625" s="56"/>
      <c r="B625" s="59"/>
      <c r="C625" s="59"/>
      <c r="D625" s="20" t="s">
        <v>121</v>
      </c>
      <c r="E625" s="20"/>
      <c r="F625" s="21">
        <v>420</v>
      </c>
      <c r="G625" s="21">
        <v>1625.4</v>
      </c>
      <c r="H625" s="21">
        <v>0</v>
      </c>
      <c r="I625" s="21">
        <v>0</v>
      </c>
      <c r="J625" s="20" t="s">
        <v>966</v>
      </c>
      <c r="K625" s="22" t="s">
        <v>255</v>
      </c>
      <c r="L625" s="46">
        <v>1701</v>
      </c>
      <c r="M625" s="46">
        <v>1700</v>
      </c>
      <c r="N625" s="47">
        <v>1700</v>
      </c>
    </row>
    <row r="626" spans="1:14" x14ac:dyDescent="0.25">
      <c r="A626" s="56"/>
      <c r="B626" s="59"/>
      <c r="C626" s="59"/>
      <c r="D626" s="20" t="s">
        <v>35</v>
      </c>
      <c r="E626" s="20"/>
      <c r="F626" s="21">
        <v>4875</v>
      </c>
      <c r="G626" s="21">
        <v>6075</v>
      </c>
      <c r="H626" s="21"/>
      <c r="I626" s="21"/>
      <c r="J626" s="20"/>
      <c r="K626" s="22"/>
      <c r="L626" s="22"/>
      <c r="M626" s="22"/>
      <c r="N626" s="44"/>
    </row>
    <row r="627" spans="1:14" x14ac:dyDescent="0.25">
      <c r="A627" s="56"/>
      <c r="B627" s="59"/>
      <c r="C627" s="59"/>
      <c r="D627" s="20" t="s">
        <v>30</v>
      </c>
      <c r="E627" s="20"/>
      <c r="F627" s="21">
        <v>148</v>
      </c>
      <c r="G627" s="21">
        <v>748</v>
      </c>
      <c r="H627" s="21">
        <v>4573</v>
      </c>
      <c r="I627" s="21">
        <v>4573</v>
      </c>
      <c r="J627" s="20"/>
      <c r="K627" s="22"/>
      <c r="L627" s="22"/>
      <c r="M627" s="22"/>
      <c r="N627" s="44"/>
    </row>
    <row r="628" spans="1:14" ht="15.75" thickBot="1" x14ac:dyDescent="0.3">
      <c r="A628" s="57"/>
      <c r="B628" s="60"/>
      <c r="C628" s="60"/>
      <c r="D628" s="20" t="s">
        <v>491</v>
      </c>
      <c r="E628" s="20"/>
      <c r="F628" s="21">
        <v>734.5</v>
      </c>
      <c r="G628" s="21">
        <v>734.5</v>
      </c>
      <c r="H628" s="21">
        <v>734.5</v>
      </c>
      <c r="I628" s="21">
        <v>734.5</v>
      </c>
      <c r="J628" s="20"/>
      <c r="K628" s="22"/>
      <c r="L628" s="22"/>
      <c r="M628" s="22"/>
      <c r="N628" s="44"/>
    </row>
    <row r="629" spans="1:14" x14ac:dyDescent="0.25">
      <c r="A629" s="55" t="s">
        <v>967</v>
      </c>
      <c r="B629" s="58" t="s">
        <v>968</v>
      </c>
      <c r="C629" s="58" t="s">
        <v>964</v>
      </c>
      <c r="D629" s="17"/>
      <c r="E629" s="17"/>
      <c r="F629" s="18">
        <f>SUM(F630:F630)</f>
        <v>22721.200000000001</v>
      </c>
      <c r="G629" s="18">
        <f>SUM(G630:G630)</f>
        <v>24631.4</v>
      </c>
      <c r="H629" s="18">
        <f>SUM(H630:H630)</f>
        <v>22721.200000000001</v>
      </c>
      <c r="I629" s="18">
        <f>SUM(I630:I630)</f>
        <v>22721.200000000001</v>
      </c>
      <c r="J629" s="17" t="s">
        <v>969</v>
      </c>
      <c r="K629" s="19" t="s">
        <v>255</v>
      </c>
      <c r="L629" s="50">
        <v>19000</v>
      </c>
      <c r="M629" s="50">
        <v>19000</v>
      </c>
      <c r="N629" s="51">
        <v>21000</v>
      </c>
    </row>
    <row r="630" spans="1:14" ht="15.75" thickBot="1" x14ac:dyDescent="0.3">
      <c r="A630" s="57"/>
      <c r="B630" s="60"/>
      <c r="C630" s="60"/>
      <c r="D630" s="20" t="s">
        <v>125</v>
      </c>
      <c r="E630" s="20"/>
      <c r="F630" s="21">
        <v>22721.200000000001</v>
      </c>
      <c r="G630" s="21">
        <v>24631.4</v>
      </c>
      <c r="H630" s="21">
        <v>22721.200000000001</v>
      </c>
      <c r="I630" s="21">
        <v>22721.200000000001</v>
      </c>
      <c r="J630" s="20" t="s">
        <v>970</v>
      </c>
      <c r="K630" s="22" t="s">
        <v>255</v>
      </c>
      <c r="L630" s="22">
        <v>33</v>
      </c>
      <c r="M630" s="22">
        <v>33</v>
      </c>
      <c r="N630" s="44">
        <v>34</v>
      </c>
    </row>
    <row r="631" spans="1:14" x14ac:dyDescent="0.25">
      <c r="A631" s="55" t="s">
        <v>971</v>
      </c>
      <c r="B631" s="58" t="s">
        <v>972</v>
      </c>
      <c r="C631" s="58" t="s">
        <v>964</v>
      </c>
      <c r="D631" s="17" t="s">
        <v>125</v>
      </c>
      <c r="E631" s="17"/>
      <c r="F631" s="18">
        <f>SUM(F632:F632)+9527.5</f>
        <v>9527.5</v>
      </c>
      <c r="G631" s="18">
        <f>SUM(G632:G632)+9141.7</f>
        <v>9141.7000000000007</v>
      </c>
      <c r="H631" s="18">
        <f>SUM(H632:H632)+9527.5</f>
        <v>9527.5</v>
      </c>
      <c r="I631" s="18">
        <f>SUM(I632:I632)+9527.5</f>
        <v>9527.5</v>
      </c>
      <c r="J631" s="17" t="s">
        <v>969</v>
      </c>
      <c r="K631" s="19" t="s">
        <v>255</v>
      </c>
      <c r="L631" s="50">
        <v>3650</v>
      </c>
      <c r="M631" s="50">
        <v>3650</v>
      </c>
      <c r="N631" s="51">
        <v>4400</v>
      </c>
    </row>
    <row r="632" spans="1:14" ht="15.75" thickBot="1" x14ac:dyDescent="0.3">
      <c r="A632" s="57"/>
      <c r="B632" s="60"/>
      <c r="C632" s="60"/>
      <c r="D632" s="20"/>
      <c r="E632" s="20"/>
      <c r="F632" s="21">
        <v>0</v>
      </c>
      <c r="G632" s="21">
        <v>0</v>
      </c>
      <c r="H632" s="21">
        <v>0</v>
      </c>
      <c r="I632" s="21">
        <v>0</v>
      </c>
      <c r="J632" s="20" t="s">
        <v>970</v>
      </c>
      <c r="K632" s="22" t="s">
        <v>255</v>
      </c>
      <c r="L632" s="22">
        <v>33</v>
      </c>
      <c r="M632" s="22">
        <v>33</v>
      </c>
      <c r="N632" s="44">
        <v>33</v>
      </c>
    </row>
    <row r="633" spans="1:14" ht="75.75" thickBot="1" x14ac:dyDescent="0.3">
      <c r="A633" s="23" t="s">
        <v>973</v>
      </c>
      <c r="B633" s="24" t="s">
        <v>974</v>
      </c>
      <c r="C633" s="17" t="s">
        <v>964</v>
      </c>
      <c r="D633" s="17" t="s">
        <v>491</v>
      </c>
      <c r="E633" s="17"/>
      <c r="F633" s="25">
        <v>0.9</v>
      </c>
      <c r="G633" s="25">
        <v>0.9</v>
      </c>
      <c r="H633" s="25">
        <v>0.9</v>
      </c>
      <c r="I633" s="25">
        <v>0.9</v>
      </c>
      <c r="J633" s="17" t="s">
        <v>969</v>
      </c>
      <c r="K633" s="19" t="s">
        <v>255</v>
      </c>
      <c r="L633" s="19">
        <v>1</v>
      </c>
      <c r="M633" s="19">
        <v>1</v>
      </c>
      <c r="N633" s="43">
        <v>1</v>
      </c>
    </row>
    <row r="634" spans="1:14" x14ac:dyDescent="0.25">
      <c r="A634" s="55" t="s">
        <v>975</v>
      </c>
      <c r="B634" s="58" t="s">
        <v>976</v>
      </c>
      <c r="C634" s="58" t="s">
        <v>964</v>
      </c>
      <c r="D634" s="17"/>
      <c r="E634" s="17"/>
      <c r="F634" s="18">
        <f>SUM(F635:F635)</f>
        <v>5.2</v>
      </c>
      <c r="G634" s="18">
        <f>SUM(G635:G635)</f>
        <v>5.2</v>
      </c>
      <c r="H634" s="18">
        <f>SUM(H635:H635)</f>
        <v>5.2</v>
      </c>
      <c r="I634" s="18">
        <f>SUM(I635:I635)</f>
        <v>5.2</v>
      </c>
      <c r="J634" s="17" t="s">
        <v>969</v>
      </c>
      <c r="K634" s="19" t="s">
        <v>255</v>
      </c>
      <c r="L634" s="19">
        <v>2</v>
      </c>
      <c r="M634" s="19">
        <v>2</v>
      </c>
      <c r="N634" s="43">
        <v>2</v>
      </c>
    </row>
    <row r="635" spans="1:14" ht="15.75" thickBot="1" x14ac:dyDescent="0.3">
      <c r="A635" s="57"/>
      <c r="B635" s="60"/>
      <c r="C635" s="60"/>
      <c r="D635" s="20" t="s">
        <v>30</v>
      </c>
      <c r="E635" s="20"/>
      <c r="F635" s="21">
        <v>5.2</v>
      </c>
      <c r="G635" s="21">
        <v>5.2</v>
      </c>
      <c r="H635" s="21">
        <v>5.2</v>
      </c>
      <c r="I635" s="21">
        <v>5.2</v>
      </c>
      <c r="J635" s="20"/>
      <c r="K635" s="22"/>
      <c r="L635" s="22"/>
      <c r="M635" s="22"/>
      <c r="N635" s="44"/>
    </row>
    <row r="636" spans="1:14" x14ac:dyDescent="0.25">
      <c r="A636" s="55" t="s">
        <v>977</v>
      </c>
      <c r="B636" s="58" t="s">
        <v>978</v>
      </c>
      <c r="C636" s="58" t="s">
        <v>964</v>
      </c>
      <c r="D636" s="17"/>
      <c r="E636" s="17"/>
      <c r="F636" s="18">
        <f>SUM(F637:F638)</f>
        <v>1396.1</v>
      </c>
      <c r="G636" s="18">
        <f>SUM(G637:G638)</f>
        <v>1576.1</v>
      </c>
      <c r="H636" s="18">
        <f>SUM(H637:H638)</f>
        <v>1396.1</v>
      </c>
      <c r="I636" s="18">
        <f>SUM(I637:I638)</f>
        <v>1396.1</v>
      </c>
      <c r="J636" s="17" t="s">
        <v>969</v>
      </c>
      <c r="K636" s="19" t="s">
        <v>255</v>
      </c>
      <c r="L636" s="50">
        <v>4150</v>
      </c>
      <c r="M636" s="50">
        <v>4150</v>
      </c>
      <c r="N636" s="51">
        <v>6500</v>
      </c>
    </row>
    <row r="637" spans="1:14" x14ac:dyDescent="0.25">
      <c r="A637" s="56"/>
      <c r="B637" s="59"/>
      <c r="C637" s="59"/>
      <c r="D637" s="20" t="s">
        <v>491</v>
      </c>
      <c r="E637" s="20"/>
      <c r="F637" s="21">
        <v>1396.1</v>
      </c>
      <c r="G637" s="21">
        <v>1496.1</v>
      </c>
      <c r="H637" s="21">
        <v>1396.1</v>
      </c>
      <c r="I637" s="21">
        <v>1396.1</v>
      </c>
      <c r="J637" s="20"/>
      <c r="K637" s="22"/>
      <c r="L637" s="22"/>
      <c r="M637" s="22"/>
      <c r="N637" s="44"/>
    </row>
    <row r="638" spans="1:14" ht="15.75" thickBot="1" x14ac:dyDescent="0.3">
      <c r="A638" s="57"/>
      <c r="B638" s="60"/>
      <c r="C638" s="60"/>
      <c r="D638" s="20" t="s">
        <v>121</v>
      </c>
      <c r="E638" s="20"/>
      <c r="F638" s="21">
        <v>0</v>
      </c>
      <c r="G638" s="21">
        <v>80</v>
      </c>
      <c r="H638" s="21">
        <v>0</v>
      </c>
      <c r="I638" s="21">
        <v>0</v>
      </c>
      <c r="J638" s="20"/>
      <c r="K638" s="22"/>
      <c r="L638" s="22"/>
      <c r="M638" s="22"/>
      <c r="N638" s="44"/>
    </row>
    <row r="639" spans="1:14" ht="37.5" customHeight="1" x14ac:dyDescent="0.25">
      <c r="A639" s="55" t="s">
        <v>979</v>
      </c>
      <c r="B639" s="58" t="s">
        <v>980</v>
      </c>
      <c r="C639" s="58" t="s">
        <v>376</v>
      </c>
      <c r="D639" s="17"/>
      <c r="E639" s="17"/>
      <c r="F639" s="18">
        <f>SUM(F640:F641)</f>
        <v>2217</v>
      </c>
      <c r="G639" s="18">
        <f>SUM(G640:G641)</f>
        <v>2361.9</v>
      </c>
      <c r="H639" s="18">
        <f>SUM(H640:H641)</f>
        <v>1657</v>
      </c>
      <c r="I639" s="18">
        <f>SUM(I640:I641)</f>
        <v>1657</v>
      </c>
      <c r="J639" s="17" t="s">
        <v>981</v>
      </c>
      <c r="K639" s="19" t="s">
        <v>20</v>
      </c>
      <c r="L639" s="19">
        <v>100</v>
      </c>
      <c r="M639" s="19">
        <v>100</v>
      </c>
      <c r="N639" s="43">
        <v>100</v>
      </c>
    </row>
    <row r="640" spans="1:14" x14ac:dyDescent="0.25">
      <c r="A640" s="56"/>
      <c r="B640" s="59"/>
      <c r="C640" s="59"/>
      <c r="D640" s="20" t="s">
        <v>30</v>
      </c>
      <c r="E640" s="20"/>
      <c r="F640" s="21">
        <v>0</v>
      </c>
      <c r="G640" s="21">
        <v>144.9</v>
      </c>
      <c r="H640" s="21">
        <v>1657</v>
      </c>
      <c r="I640" s="21">
        <v>1657</v>
      </c>
      <c r="J640" s="20"/>
      <c r="K640" s="22"/>
      <c r="L640" s="22"/>
      <c r="M640" s="22"/>
      <c r="N640" s="44"/>
    </row>
    <row r="641" spans="1:14" ht="15.75" thickBot="1" x14ac:dyDescent="0.3">
      <c r="A641" s="57"/>
      <c r="B641" s="60"/>
      <c r="C641" s="60"/>
      <c r="D641" s="20" t="s">
        <v>35</v>
      </c>
      <c r="E641" s="20"/>
      <c r="F641" s="21">
        <v>2217</v>
      </c>
      <c r="G641" s="21">
        <v>2217</v>
      </c>
      <c r="H641" s="21">
        <v>0</v>
      </c>
      <c r="I641" s="21">
        <v>0</v>
      </c>
      <c r="J641" s="20"/>
      <c r="K641" s="22"/>
      <c r="L641" s="22"/>
      <c r="M641" s="22"/>
      <c r="N641" s="44"/>
    </row>
    <row r="642" spans="1:14" ht="30" x14ac:dyDescent="0.25">
      <c r="A642" s="55" t="s">
        <v>982</v>
      </c>
      <c r="B642" s="58" t="s">
        <v>983</v>
      </c>
      <c r="C642" s="58" t="s">
        <v>984</v>
      </c>
      <c r="D642" s="17"/>
      <c r="E642" s="17"/>
      <c r="F642" s="18">
        <f>SUM(F643:F645)</f>
        <v>30</v>
      </c>
      <c r="G642" s="18">
        <f>SUM(G643:G645)</f>
        <v>210</v>
      </c>
      <c r="H642" s="18">
        <f>SUM(H643:H645)</f>
        <v>0</v>
      </c>
      <c r="I642" s="18">
        <f>SUM(I643:I645)</f>
        <v>0</v>
      </c>
      <c r="J642" s="17" t="s">
        <v>985</v>
      </c>
      <c r="K642" s="19" t="s">
        <v>20</v>
      </c>
      <c r="L642" s="19">
        <v>100</v>
      </c>
      <c r="M642" s="19"/>
      <c r="N642" s="43"/>
    </row>
    <row r="643" spans="1:14" x14ac:dyDescent="0.25">
      <c r="A643" s="56"/>
      <c r="B643" s="59"/>
      <c r="C643" s="59"/>
      <c r="D643" s="20" t="s">
        <v>30</v>
      </c>
      <c r="E643" s="20"/>
      <c r="F643" s="21">
        <v>0</v>
      </c>
      <c r="G643" s="21">
        <v>100</v>
      </c>
      <c r="H643" s="21">
        <v>0</v>
      </c>
      <c r="I643" s="21">
        <v>0</v>
      </c>
      <c r="J643" s="20"/>
      <c r="K643" s="22"/>
      <c r="L643" s="22"/>
      <c r="M643" s="22"/>
      <c r="N643" s="44"/>
    </row>
    <row r="644" spans="1:14" x14ac:dyDescent="0.25">
      <c r="A644" s="56"/>
      <c r="B644" s="59"/>
      <c r="C644" s="59"/>
      <c r="D644" s="20" t="s">
        <v>123</v>
      </c>
      <c r="E644" s="20"/>
      <c r="F644" s="21">
        <v>30</v>
      </c>
      <c r="G644" s="21">
        <v>30</v>
      </c>
      <c r="H644" s="21">
        <v>0</v>
      </c>
      <c r="I644" s="21">
        <v>0</v>
      </c>
      <c r="J644" s="20"/>
      <c r="K644" s="22"/>
      <c r="L644" s="22"/>
      <c r="M644" s="22"/>
      <c r="N644" s="44"/>
    </row>
    <row r="645" spans="1:14" ht="15.75" thickBot="1" x14ac:dyDescent="0.3">
      <c r="A645" s="57"/>
      <c r="B645" s="60"/>
      <c r="C645" s="60"/>
      <c r="D645" s="20" t="s">
        <v>35</v>
      </c>
      <c r="E645" s="20"/>
      <c r="F645" s="21">
        <v>0</v>
      </c>
      <c r="G645" s="21">
        <v>80</v>
      </c>
      <c r="H645" s="21">
        <v>0</v>
      </c>
      <c r="I645" s="21">
        <v>0</v>
      </c>
      <c r="J645" s="20"/>
      <c r="K645" s="22"/>
      <c r="L645" s="22"/>
      <c r="M645" s="22"/>
      <c r="N645" s="44"/>
    </row>
    <row r="646" spans="1:14" ht="26.25" customHeight="1" thickBot="1" x14ac:dyDescent="0.3">
      <c r="A646" s="8" t="s">
        <v>986</v>
      </c>
      <c r="B646" s="9" t="s">
        <v>987</v>
      </c>
      <c r="C646" s="87" t="s">
        <v>988</v>
      </c>
      <c r="D646" s="88"/>
      <c r="E646" s="89"/>
      <c r="F646" s="10">
        <f>F647+F726</f>
        <v>21609.700000000004</v>
      </c>
      <c r="G646" s="10">
        <f>G647+G726</f>
        <v>23464.900000000005</v>
      </c>
      <c r="H646" s="10">
        <f>H647+H726</f>
        <v>19641.299999999996</v>
      </c>
      <c r="I646" s="10">
        <f>I647+I726</f>
        <v>19039.699999999997</v>
      </c>
      <c r="J646" s="90"/>
      <c r="K646" s="91"/>
      <c r="L646" s="91"/>
      <c r="M646" s="91"/>
      <c r="N646" s="92"/>
    </row>
    <row r="647" spans="1:14" ht="30" x14ac:dyDescent="0.25">
      <c r="A647" s="64" t="s">
        <v>989</v>
      </c>
      <c r="B647" s="66" t="s">
        <v>990</v>
      </c>
      <c r="C647" s="67"/>
      <c r="D647" s="67"/>
      <c r="E647" s="68"/>
      <c r="F647" s="12">
        <f>F648+F649+F650+F679+F703+F712+F721</f>
        <v>21013.300000000003</v>
      </c>
      <c r="G647" s="12">
        <f>G648+G649+G650+G679+G703+G712+G721-0.1</f>
        <v>22808.700000000004</v>
      </c>
      <c r="H647" s="12">
        <f>H648+H649+H650+H679+H703+H712+H721</f>
        <v>19259.699999999997</v>
      </c>
      <c r="I647" s="12">
        <f>I648+I649+I650+I679+I703+I712+I721</f>
        <v>18658.099999999999</v>
      </c>
      <c r="J647" s="13" t="s">
        <v>991</v>
      </c>
      <c r="K647" s="14" t="s">
        <v>20</v>
      </c>
      <c r="L647" s="14">
        <v>80</v>
      </c>
      <c r="M647" s="14">
        <v>80</v>
      </c>
      <c r="N647" s="42">
        <v>80</v>
      </c>
    </row>
    <row r="648" spans="1:14" x14ac:dyDescent="0.25">
      <c r="A648" s="96"/>
      <c r="B648" s="97"/>
      <c r="C648" s="98"/>
      <c r="D648" s="98"/>
      <c r="E648" s="99"/>
      <c r="F648" s="26">
        <v>0</v>
      </c>
      <c r="G648" s="26">
        <v>0</v>
      </c>
      <c r="H648" s="26">
        <v>0</v>
      </c>
      <c r="I648" s="26">
        <v>0</v>
      </c>
      <c r="J648" s="27" t="s">
        <v>992</v>
      </c>
      <c r="K648" s="28" t="s">
        <v>24</v>
      </c>
      <c r="L648" s="52">
        <v>12000</v>
      </c>
      <c r="M648" s="52">
        <v>14000</v>
      </c>
      <c r="N648" s="53">
        <v>20000</v>
      </c>
    </row>
    <row r="649" spans="1:14" ht="15.75" thickBot="1" x14ac:dyDescent="0.3">
      <c r="A649" s="65"/>
      <c r="B649" s="69"/>
      <c r="C649" s="70"/>
      <c r="D649" s="70"/>
      <c r="E649" s="71"/>
      <c r="F649" s="26">
        <v>0</v>
      </c>
      <c r="G649" s="26">
        <v>0</v>
      </c>
      <c r="H649" s="26">
        <v>0</v>
      </c>
      <c r="I649" s="26">
        <v>0</v>
      </c>
      <c r="J649" s="27" t="s">
        <v>993</v>
      </c>
      <c r="K649" s="28" t="s">
        <v>24</v>
      </c>
      <c r="L649" s="28">
        <v>25</v>
      </c>
      <c r="M649" s="28">
        <v>27</v>
      </c>
      <c r="N649" s="45">
        <v>27</v>
      </c>
    </row>
    <row r="650" spans="1:14" ht="26.25" customHeight="1" thickBot="1" x14ac:dyDescent="0.3">
      <c r="A650" s="15" t="s">
        <v>994</v>
      </c>
      <c r="B650" s="72" t="s">
        <v>995</v>
      </c>
      <c r="C650" s="73"/>
      <c r="D650" s="73"/>
      <c r="E650" s="74"/>
      <c r="F650" s="16">
        <f>F651+F662+F665+F666+F670+F672+F675</f>
        <v>11978.8</v>
      </c>
      <c r="G650" s="16">
        <f>G651+G662+G665+G666+G670+G672+G675</f>
        <v>12042.6</v>
      </c>
      <c r="H650" s="16">
        <f>H651+H662+H665+H666+H670+H672+H675</f>
        <v>11567.4</v>
      </c>
      <c r="I650" s="16">
        <f>I651+I662+I665+I666+I670+I672+I675</f>
        <v>11467.4</v>
      </c>
      <c r="J650" s="61"/>
      <c r="K650" s="62"/>
      <c r="L650" s="62"/>
      <c r="M650" s="62"/>
      <c r="N650" s="63"/>
    </row>
    <row r="651" spans="1:14" x14ac:dyDescent="0.25">
      <c r="A651" s="55" t="s">
        <v>996</v>
      </c>
      <c r="B651" s="58" t="s">
        <v>997</v>
      </c>
      <c r="C651" s="58" t="s">
        <v>998</v>
      </c>
      <c r="D651" s="17"/>
      <c r="E651" s="17"/>
      <c r="F651" s="18">
        <f>SUM(F652:F661)</f>
        <v>8899.4</v>
      </c>
      <c r="G651" s="18">
        <f>SUM(G652:G661)</f>
        <v>8897.7000000000007</v>
      </c>
      <c r="H651" s="18">
        <f>SUM(H652:H661)</f>
        <v>8488.4</v>
      </c>
      <c r="I651" s="18">
        <f>SUM(I652:I661)</f>
        <v>8488.4</v>
      </c>
      <c r="J651" s="17" t="s">
        <v>999</v>
      </c>
      <c r="K651" s="19" t="s">
        <v>255</v>
      </c>
      <c r="L651" s="19">
        <v>181</v>
      </c>
      <c r="M651" s="19">
        <v>181</v>
      </c>
      <c r="N651" s="43">
        <v>209</v>
      </c>
    </row>
    <row r="652" spans="1:14" ht="30" x14ac:dyDescent="0.25">
      <c r="A652" s="56"/>
      <c r="B652" s="59"/>
      <c r="C652" s="59"/>
      <c r="D652" s="20" t="s">
        <v>35</v>
      </c>
      <c r="E652" s="20"/>
      <c r="F652" s="21">
        <v>411</v>
      </c>
      <c r="G652" s="21">
        <v>411</v>
      </c>
      <c r="H652" s="21">
        <v>0</v>
      </c>
      <c r="I652" s="21">
        <v>0</v>
      </c>
      <c r="J652" s="20" t="s">
        <v>1000</v>
      </c>
      <c r="K652" s="22" t="s">
        <v>255</v>
      </c>
      <c r="L652" s="22">
        <v>85</v>
      </c>
      <c r="M652" s="22">
        <v>85</v>
      </c>
      <c r="N652" s="44">
        <v>57</v>
      </c>
    </row>
    <row r="653" spans="1:14" x14ac:dyDescent="0.25">
      <c r="A653" s="56"/>
      <c r="B653" s="59"/>
      <c r="C653" s="59"/>
      <c r="D653" s="20" t="s">
        <v>121</v>
      </c>
      <c r="E653" s="20"/>
      <c r="F653" s="21">
        <v>0</v>
      </c>
      <c r="G653" s="21">
        <v>15.7</v>
      </c>
      <c r="H653" s="21">
        <v>0</v>
      </c>
      <c r="I653" s="21">
        <v>0</v>
      </c>
      <c r="J653" s="20" t="s">
        <v>1001</v>
      </c>
      <c r="K653" s="22" t="s">
        <v>20</v>
      </c>
      <c r="L653" s="22">
        <v>100</v>
      </c>
      <c r="M653" s="22">
        <v>100</v>
      </c>
      <c r="N653" s="44">
        <v>100</v>
      </c>
    </row>
    <row r="654" spans="1:14" x14ac:dyDescent="0.25">
      <c r="A654" s="56"/>
      <c r="B654" s="59"/>
      <c r="C654" s="59"/>
      <c r="D654" s="20" t="s">
        <v>30</v>
      </c>
      <c r="E654" s="20"/>
      <c r="F654" s="21">
        <v>8486.9</v>
      </c>
      <c r="G654" s="21">
        <v>8468</v>
      </c>
      <c r="H654" s="21">
        <v>8486.9</v>
      </c>
      <c r="I654" s="21">
        <v>8486.9</v>
      </c>
      <c r="J654" s="20" t="s">
        <v>1002</v>
      </c>
      <c r="K654" s="22" t="s">
        <v>24</v>
      </c>
      <c r="L654" s="22">
        <v>40</v>
      </c>
      <c r="M654" s="22">
        <v>40</v>
      </c>
      <c r="N654" s="44">
        <v>40</v>
      </c>
    </row>
    <row r="655" spans="1:14" x14ac:dyDescent="0.25">
      <c r="A655" s="56"/>
      <c r="B655" s="59"/>
      <c r="C655" s="59"/>
      <c r="D655" s="20" t="s">
        <v>128</v>
      </c>
      <c r="E655" s="20"/>
      <c r="F655" s="21">
        <v>1.5</v>
      </c>
      <c r="G655" s="21">
        <v>3</v>
      </c>
      <c r="H655" s="21">
        <v>1.5</v>
      </c>
      <c r="I655" s="21">
        <v>1.5</v>
      </c>
      <c r="J655" s="20" t="s">
        <v>1003</v>
      </c>
      <c r="K655" s="22" t="s">
        <v>24</v>
      </c>
      <c r="L655" s="22">
        <v>3</v>
      </c>
      <c r="M655" s="22">
        <v>3</v>
      </c>
      <c r="N655" s="44">
        <v>3</v>
      </c>
    </row>
    <row r="656" spans="1:14" x14ac:dyDescent="0.25">
      <c r="A656" s="56"/>
      <c r="B656" s="59"/>
      <c r="C656" s="59"/>
      <c r="D656" s="20"/>
      <c r="E656" s="20"/>
      <c r="F656" s="21">
        <v>0</v>
      </c>
      <c r="G656" s="21">
        <v>0</v>
      </c>
      <c r="H656" s="21">
        <v>0</v>
      </c>
      <c r="I656" s="21">
        <v>0</v>
      </c>
      <c r="J656" s="20" t="s">
        <v>1004</v>
      </c>
      <c r="K656" s="22" t="s">
        <v>24</v>
      </c>
      <c r="L656" s="22">
        <v>3</v>
      </c>
      <c r="M656" s="22">
        <v>10</v>
      </c>
      <c r="N656" s="44">
        <v>10</v>
      </c>
    </row>
    <row r="657" spans="1:14" x14ac:dyDescent="0.25">
      <c r="A657" s="56"/>
      <c r="B657" s="59"/>
      <c r="C657" s="59"/>
      <c r="D657" s="20"/>
      <c r="E657" s="20"/>
      <c r="F657" s="21">
        <v>0</v>
      </c>
      <c r="G657" s="21">
        <v>0</v>
      </c>
      <c r="H657" s="21">
        <v>0</v>
      </c>
      <c r="I657" s="21">
        <v>0</v>
      </c>
      <c r="J657" s="20" t="s">
        <v>1005</v>
      </c>
      <c r="K657" s="22" t="s">
        <v>24</v>
      </c>
      <c r="L657" s="22">
        <v>1</v>
      </c>
      <c r="M657" s="22">
        <v>3</v>
      </c>
      <c r="N657" s="44">
        <v>3</v>
      </c>
    </row>
    <row r="658" spans="1:14" x14ac:dyDescent="0.25">
      <c r="A658" s="56"/>
      <c r="B658" s="59"/>
      <c r="C658" s="59"/>
      <c r="D658" s="20"/>
      <c r="E658" s="20"/>
      <c r="F658" s="21">
        <v>0</v>
      </c>
      <c r="G658" s="21">
        <v>0</v>
      </c>
      <c r="H658" s="21">
        <v>0</v>
      </c>
      <c r="I658" s="21">
        <v>0</v>
      </c>
      <c r="J658" s="20" t="s">
        <v>1006</v>
      </c>
      <c r="K658" s="22" t="s">
        <v>24</v>
      </c>
      <c r="L658" s="22">
        <v>300</v>
      </c>
      <c r="M658" s="22">
        <v>330</v>
      </c>
      <c r="N658" s="44">
        <v>330</v>
      </c>
    </row>
    <row r="659" spans="1:14" ht="42" customHeight="1" x14ac:dyDescent="0.25">
      <c r="A659" s="56"/>
      <c r="B659" s="59"/>
      <c r="C659" s="59"/>
      <c r="D659" s="20"/>
      <c r="E659" s="20"/>
      <c r="F659" s="21">
        <v>0</v>
      </c>
      <c r="G659" s="21">
        <v>0</v>
      </c>
      <c r="H659" s="21">
        <v>0</v>
      </c>
      <c r="I659" s="21">
        <v>0</v>
      </c>
      <c r="J659" s="20" t="s">
        <v>1007</v>
      </c>
      <c r="K659" s="22" t="s">
        <v>255</v>
      </c>
      <c r="L659" s="46">
        <v>18000</v>
      </c>
      <c r="M659" s="46">
        <v>19000</v>
      </c>
      <c r="N659" s="47">
        <v>20000</v>
      </c>
    </row>
    <row r="660" spans="1:14" x14ac:dyDescent="0.25">
      <c r="A660" s="56"/>
      <c r="B660" s="59"/>
      <c r="C660" s="59"/>
      <c r="D660" s="20"/>
      <c r="E660" s="20"/>
      <c r="F660" s="21">
        <v>0</v>
      </c>
      <c r="G660" s="21">
        <v>0</v>
      </c>
      <c r="H660" s="21">
        <v>0</v>
      </c>
      <c r="I660" s="21">
        <v>0</v>
      </c>
      <c r="J660" s="20" t="s">
        <v>1008</v>
      </c>
      <c r="K660" s="22" t="s">
        <v>255</v>
      </c>
      <c r="L660" s="22">
        <v>280</v>
      </c>
      <c r="M660" s="22">
        <v>280</v>
      </c>
      <c r="N660" s="44">
        <v>300</v>
      </c>
    </row>
    <row r="661" spans="1:14" ht="30.75" thickBot="1" x14ac:dyDescent="0.3">
      <c r="A661" s="57"/>
      <c r="B661" s="60"/>
      <c r="C661" s="60"/>
      <c r="D661" s="20"/>
      <c r="E661" s="20"/>
      <c r="F661" s="21">
        <v>0</v>
      </c>
      <c r="G661" s="21">
        <v>0</v>
      </c>
      <c r="H661" s="21">
        <v>0</v>
      </c>
      <c r="I661" s="21">
        <v>0</v>
      </c>
      <c r="J661" s="20" t="s">
        <v>1009</v>
      </c>
      <c r="K661" s="22" t="s">
        <v>255</v>
      </c>
      <c r="L661" s="46">
        <v>2000</v>
      </c>
      <c r="M661" s="46">
        <v>2200</v>
      </c>
      <c r="N661" s="47">
        <v>2400</v>
      </c>
    </row>
    <row r="662" spans="1:14" x14ac:dyDescent="0.25">
      <c r="A662" s="55" t="s">
        <v>1010</v>
      </c>
      <c r="B662" s="58" t="s">
        <v>1011</v>
      </c>
      <c r="C662" s="58" t="s">
        <v>998</v>
      </c>
      <c r="D662" s="17" t="s">
        <v>30</v>
      </c>
      <c r="E662" s="17"/>
      <c r="F662" s="18">
        <f>SUM(F663:F664)+804.1</f>
        <v>804.1</v>
      </c>
      <c r="G662" s="18">
        <f>SUM(G663:G664)+865.2</f>
        <v>865.2</v>
      </c>
      <c r="H662" s="18">
        <f>SUM(H663:H664)+804.1</f>
        <v>804.1</v>
      </c>
      <c r="I662" s="18">
        <f>SUM(I663:I664)+804.1</f>
        <v>804.1</v>
      </c>
      <c r="J662" s="17" t="s">
        <v>1012</v>
      </c>
      <c r="K662" s="19" t="s">
        <v>255</v>
      </c>
      <c r="L662" s="19">
        <v>8</v>
      </c>
      <c r="M662" s="19">
        <v>8</v>
      </c>
      <c r="N662" s="43">
        <v>8</v>
      </c>
    </row>
    <row r="663" spans="1:14" ht="30" x14ac:dyDescent="0.25">
      <c r="A663" s="56"/>
      <c r="B663" s="59"/>
      <c r="C663" s="59"/>
      <c r="D663" s="20"/>
      <c r="E663" s="20"/>
      <c r="F663" s="21">
        <v>0</v>
      </c>
      <c r="G663" s="21">
        <v>0</v>
      </c>
      <c r="H663" s="21">
        <v>0</v>
      </c>
      <c r="I663" s="21">
        <v>0</v>
      </c>
      <c r="J663" s="20" t="s">
        <v>1013</v>
      </c>
      <c r="K663" s="22" t="s">
        <v>20</v>
      </c>
      <c r="L663" s="22">
        <v>100</v>
      </c>
      <c r="M663" s="22">
        <v>100</v>
      </c>
      <c r="N663" s="44">
        <v>100</v>
      </c>
    </row>
    <row r="664" spans="1:14" ht="30.75" thickBot="1" x14ac:dyDescent="0.3">
      <c r="A664" s="57"/>
      <c r="B664" s="60"/>
      <c r="C664" s="60"/>
      <c r="D664" s="20"/>
      <c r="E664" s="20"/>
      <c r="F664" s="21">
        <v>0</v>
      </c>
      <c r="G664" s="21">
        <v>0</v>
      </c>
      <c r="H664" s="21">
        <v>0</v>
      </c>
      <c r="I664" s="21">
        <v>0</v>
      </c>
      <c r="J664" s="20" t="s">
        <v>1014</v>
      </c>
      <c r="K664" s="22" t="s">
        <v>20</v>
      </c>
      <c r="L664" s="22">
        <v>100</v>
      </c>
      <c r="M664" s="22">
        <v>100</v>
      </c>
      <c r="N664" s="44">
        <v>100</v>
      </c>
    </row>
    <row r="665" spans="1:14" ht="45.75" thickBot="1" x14ac:dyDescent="0.3">
      <c r="A665" s="23" t="s">
        <v>1015</v>
      </c>
      <c r="B665" s="24" t="s">
        <v>1016</v>
      </c>
      <c r="C665" s="17" t="s">
        <v>1017</v>
      </c>
      <c r="D665" s="17" t="s">
        <v>30</v>
      </c>
      <c r="E665" s="17"/>
      <c r="F665" s="25">
        <v>319.39999999999998</v>
      </c>
      <c r="G665" s="25">
        <v>319.39999999999998</v>
      </c>
      <c r="H665" s="25">
        <v>319.39999999999998</v>
      </c>
      <c r="I665" s="25">
        <v>319.39999999999998</v>
      </c>
      <c r="J665" s="17" t="s">
        <v>1018</v>
      </c>
      <c r="K665" s="19" t="s">
        <v>255</v>
      </c>
      <c r="L665" s="19">
        <v>6</v>
      </c>
      <c r="M665" s="19">
        <v>6</v>
      </c>
      <c r="N665" s="43">
        <v>6</v>
      </c>
    </row>
    <row r="666" spans="1:14" ht="30" x14ac:dyDescent="0.25">
      <c r="A666" s="55" t="s">
        <v>1019</v>
      </c>
      <c r="B666" s="58" t="s">
        <v>1020</v>
      </c>
      <c r="C666" s="58" t="s">
        <v>376</v>
      </c>
      <c r="D666" s="17"/>
      <c r="E666" s="17"/>
      <c r="F666" s="18">
        <f>SUM(F667:F669)</f>
        <v>1543</v>
      </c>
      <c r="G666" s="18">
        <f>SUM(G667:G669)</f>
        <v>1543.4</v>
      </c>
      <c r="H666" s="18">
        <f>SUM(H667:H669)</f>
        <v>1492.6</v>
      </c>
      <c r="I666" s="18">
        <f>SUM(I667:I669)</f>
        <v>1492.6</v>
      </c>
      <c r="J666" s="17" t="s">
        <v>1021</v>
      </c>
      <c r="K666" s="19" t="s">
        <v>20</v>
      </c>
      <c r="L666" s="19">
        <v>100</v>
      </c>
      <c r="M666" s="19">
        <v>100</v>
      </c>
      <c r="N666" s="43">
        <v>100</v>
      </c>
    </row>
    <row r="667" spans="1:14" x14ac:dyDescent="0.25">
      <c r="A667" s="56"/>
      <c r="B667" s="59"/>
      <c r="C667" s="59"/>
      <c r="D667" s="20" t="s">
        <v>30</v>
      </c>
      <c r="E667" s="20"/>
      <c r="F667" s="21">
        <v>1492.6</v>
      </c>
      <c r="G667" s="21">
        <v>1492.6</v>
      </c>
      <c r="H667" s="21">
        <v>1492.6</v>
      </c>
      <c r="I667" s="21">
        <v>1492.6</v>
      </c>
      <c r="J667" s="20"/>
      <c r="K667" s="22"/>
      <c r="L667" s="22"/>
      <c r="M667" s="22"/>
      <c r="N667" s="44"/>
    </row>
    <row r="668" spans="1:14" x14ac:dyDescent="0.25">
      <c r="A668" s="56"/>
      <c r="B668" s="59"/>
      <c r="C668" s="59"/>
      <c r="D668" s="20" t="s">
        <v>35</v>
      </c>
      <c r="E668" s="20"/>
      <c r="F668" s="21">
        <v>50.4</v>
      </c>
      <c r="G668" s="21">
        <v>50.4</v>
      </c>
      <c r="H668" s="21">
        <v>0</v>
      </c>
      <c r="I668" s="21">
        <v>0</v>
      </c>
      <c r="J668" s="20"/>
      <c r="K668" s="22"/>
      <c r="L668" s="22"/>
      <c r="M668" s="22"/>
      <c r="N668" s="44"/>
    </row>
    <row r="669" spans="1:14" ht="15.75" thickBot="1" x14ac:dyDescent="0.3">
      <c r="A669" s="57"/>
      <c r="B669" s="60"/>
      <c r="C669" s="60"/>
      <c r="D669" s="20" t="s">
        <v>123</v>
      </c>
      <c r="E669" s="20"/>
      <c r="F669" s="21">
        <v>0</v>
      </c>
      <c r="G669" s="21">
        <v>0.4</v>
      </c>
      <c r="H669" s="21">
        <v>0</v>
      </c>
      <c r="I669" s="21">
        <v>0</v>
      </c>
      <c r="J669" s="20"/>
      <c r="K669" s="22"/>
      <c r="L669" s="22"/>
      <c r="M669" s="22"/>
      <c r="N669" s="44"/>
    </row>
    <row r="670" spans="1:14" ht="30" x14ac:dyDescent="0.25">
      <c r="A670" s="55" t="s">
        <v>1022</v>
      </c>
      <c r="B670" s="58" t="s">
        <v>1023</v>
      </c>
      <c r="C670" s="58" t="s">
        <v>311</v>
      </c>
      <c r="D670" s="17"/>
      <c r="E670" s="17"/>
      <c r="F670" s="18">
        <f>SUM(F671:F671)</f>
        <v>87.9</v>
      </c>
      <c r="G670" s="18">
        <f>SUM(G671:G671)</f>
        <v>91.9</v>
      </c>
      <c r="H670" s="18">
        <f>SUM(H671:H671)</f>
        <v>87.9</v>
      </c>
      <c r="I670" s="18">
        <f>SUM(I671:I671)</f>
        <v>87.9</v>
      </c>
      <c r="J670" s="17" t="s">
        <v>1024</v>
      </c>
      <c r="K670" s="19" t="s">
        <v>20</v>
      </c>
      <c r="L670" s="19">
        <v>100</v>
      </c>
      <c r="M670" s="19">
        <v>100</v>
      </c>
      <c r="N670" s="43">
        <v>100</v>
      </c>
    </row>
    <row r="671" spans="1:14" ht="15.75" thickBot="1" x14ac:dyDescent="0.3">
      <c r="A671" s="57"/>
      <c r="B671" s="60"/>
      <c r="C671" s="60"/>
      <c r="D671" s="20" t="s">
        <v>30</v>
      </c>
      <c r="E671" s="20"/>
      <c r="F671" s="21">
        <v>87.9</v>
      </c>
      <c r="G671" s="21">
        <v>91.9</v>
      </c>
      <c r="H671" s="21">
        <v>87.9</v>
      </c>
      <c r="I671" s="21">
        <v>87.9</v>
      </c>
      <c r="J671" s="20"/>
      <c r="K671" s="22"/>
      <c r="L671" s="22"/>
      <c r="M671" s="22"/>
      <c r="N671" s="44"/>
    </row>
    <row r="672" spans="1:14" ht="30" x14ac:dyDescent="0.25">
      <c r="A672" s="55" t="s">
        <v>1025</v>
      </c>
      <c r="B672" s="58" t="s">
        <v>1026</v>
      </c>
      <c r="C672" s="58" t="s">
        <v>984</v>
      </c>
      <c r="D672" s="17"/>
      <c r="E672" s="17"/>
      <c r="F672" s="18">
        <f>SUM(F673:F674)</f>
        <v>275</v>
      </c>
      <c r="G672" s="18">
        <f>SUM(G673:G674)</f>
        <v>275</v>
      </c>
      <c r="H672" s="18">
        <f>SUM(H673:H674)</f>
        <v>275</v>
      </c>
      <c r="I672" s="18">
        <f>SUM(I673:I674)</f>
        <v>275</v>
      </c>
      <c r="J672" s="17" t="s">
        <v>1027</v>
      </c>
      <c r="K672" s="19" t="s">
        <v>20</v>
      </c>
      <c r="L672" s="19">
        <v>100</v>
      </c>
      <c r="M672" s="19">
        <v>100</v>
      </c>
      <c r="N672" s="43">
        <v>100</v>
      </c>
    </row>
    <row r="673" spans="1:14" x14ac:dyDescent="0.25">
      <c r="A673" s="56"/>
      <c r="B673" s="59"/>
      <c r="C673" s="59"/>
      <c r="D673" s="20" t="s">
        <v>35</v>
      </c>
      <c r="E673" s="20"/>
      <c r="F673" s="21">
        <v>45</v>
      </c>
      <c r="G673" s="21">
        <v>45</v>
      </c>
      <c r="H673" s="21">
        <v>0</v>
      </c>
      <c r="I673" s="21">
        <v>0</v>
      </c>
      <c r="J673" s="20"/>
      <c r="K673" s="22"/>
      <c r="L673" s="22"/>
      <c r="M673" s="22"/>
      <c r="N673" s="44"/>
    </row>
    <row r="674" spans="1:14" ht="15.75" thickBot="1" x14ac:dyDescent="0.3">
      <c r="A674" s="57"/>
      <c r="B674" s="60"/>
      <c r="C674" s="60"/>
      <c r="D674" s="20" t="s">
        <v>30</v>
      </c>
      <c r="E674" s="20"/>
      <c r="F674" s="21">
        <v>230</v>
      </c>
      <c r="G674" s="21">
        <v>230</v>
      </c>
      <c r="H674" s="21">
        <v>275</v>
      </c>
      <c r="I674" s="21">
        <v>275</v>
      </c>
      <c r="J674" s="20"/>
      <c r="K674" s="22"/>
      <c r="L674" s="22"/>
      <c r="M674" s="22"/>
      <c r="N674" s="44"/>
    </row>
    <row r="675" spans="1:14" x14ac:dyDescent="0.25">
      <c r="A675" s="55" t="s">
        <v>1028</v>
      </c>
      <c r="B675" s="58" t="s">
        <v>1029</v>
      </c>
      <c r="C675" s="58" t="s">
        <v>1030</v>
      </c>
      <c r="D675" s="17" t="s">
        <v>30</v>
      </c>
      <c r="E675" s="17"/>
      <c r="F675" s="18">
        <f>SUM(F676:F678)+50</f>
        <v>50</v>
      </c>
      <c r="G675" s="18">
        <f>SUM(G676:G678)+50</f>
        <v>50</v>
      </c>
      <c r="H675" s="18">
        <f>SUM(H676:H678)+100</f>
        <v>100</v>
      </c>
      <c r="I675" s="18">
        <f>SUM(I676:I678)</f>
        <v>0</v>
      </c>
      <c r="J675" s="17" t="s">
        <v>1031</v>
      </c>
      <c r="K675" s="19" t="s">
        <v>255</v>
      </c>
      <c r="L675" s="19">
        <v>1</v>
      </c>
      <c r="M675" s="19"/>
      <c r="N675" s="43"/>
    </row>
    <row r="676" spans="1:14" x14ac:dyDescent="0.25">
      <c r="A676" s="56"/>
      <c r="B676" s="59"/>
      <c r="C676" s="59"/>
      <c r="D676" s="20"/>
      <c r="E676" s="20"/>
      <c r="F676" s="21">
        <v>0</v>
      </c>
      <c r="G676" s="21">
        <v>0</v>
      </c>
      <c r="H676" s="21">
        <v>0</v>
      </c>
      <c r="I676" s="21">
        <v>0</v>
      </c>
      <c r="J676" s="20" t="s">
        <v>1032</v>
      </c>
      <c r="K676" s="22" t="s">
        <v>24</v>
      </c>
      <c r="L676" s="22">
        <v>1</v>
      </c>
      <c r="M676" s="22"/>
      <c r="N676" s="44"/>
    </row>
    <row r="677" spans="1:14" x14ac:dyDescent="0.25">
      <c r="A677" s="56"/>
      <c r="B677" s="59"/>
      <c r="C677" s="59"/>
      <c r="D677" s="20"/>
      <c r="E677" s="20"/>
      <c r="F677" s="21">
        <v>0</v>
      </c>
      <c r="G677" s="21">
        <v>0</v>
      </c>
      <c r="H677" s="21">
        <v>0</v>
      </c>
      <c r="I677" s="21">
        <v>0</v>
      </c>
      <c r="J677" s="20" t="s">
        <v>1033</v>
      </c>
      <c r="K677" s="22" t="s">
        <v>24</v>
      </c>
      <c r="L677" s="22"/>
      <c r="M677" s="22">
        <v>1</v>
      </c>
      <c r="N677" s="44"/>
    </row>
    <row r="678" spans="1:14" ht="15.75" thickBot="1" x14ac:dyDescent="0.3">
      <c r="A678" s="57"/>
      <c r="B678" s="60"/>
      <c r="C678" s="60"/>
      <c r="D678" s="20"/>
      <c r="E678" s="20"/>
      <c r="F678" s="21">
        <v>0</v>
      </c>
      <c r="G678" s="21">
        <v>0</v>
      </c>
      <c r="H678" s="21">
        <v>0</v>
      </c>
      <c r="I678" s="21">
        <v>0</v>
      </c>
      <c r="J678" s="20" t="s">
        <v>1034</v>
      </c>
      <c r="K678" s="22" t="s">
        <v>24</v>
      </c>
      <c r="L678" s="22"/>
      <c r="M678" s="22">
        <v>1</v>
      </c>
      <c r="N678" s="44"/>
    </row>
    <row r="679" spans="1:14" ht="26.25" customHeight="1" thickBot="1" x14ac:dyDescent="0.3">
      <c r="A679" s="15" t="s">
        <v>1035</v>
      </c>
      <c r="B679" s="72" t="s">
        <v>1036</v>
      </c>
      <c r="C679" s="73"/>
      <c r="D679" s="73"/>
      <c r="E679" s="74"/>
      <c r="F679" s="16">
        <f>F680+F681+F682+F683+F684+F685+F686+F687+F688+F689+F690+F691+F692+F693+F694+F695+F696+F699+F701+F702</f>
        <v>547.79999999999995</v>
      </c>
      <c r="G679" s="16">
        <f>G680+G681+G682+G683+G684+G685+G686+G687+G688+G689+G690+G691+G692+G693+G694+G695+G696+G699+G701+G702</f>
        <v>621.19999999999993</v>
      </c>
      <c r="H679" s="16">
        <f>H680+H681+H682+H683+H684+H685+H686+H687+H688+H689+H690+H691+H692+H693+H694+H695+H696+H699+H701+H702</f>
        <v>547.79999999999995</v>
      </c>
      <c r="I679" s="16">
        <f>I680+I681+I682+I683+I684+I685+I686+I687+I688+I689+I690+I691+I692+I693+I694+I695+I696+I699+I701+I702</f>
        <v>547.79999999999995</v>
      </c>
      <c r="J679" s="72"/>
      <c r="K679" s="73"/>
      <c r="L679" s="73"/>
      <c r="M679" s="73"/>
      <c r="N679" s="75"/>
    </row>
    <row r="680" spans="1:14" ht="15.75" thickBot="1" x14ac:dyDescent="0.3">
      <c r="A680" s="23" t="s">
        <v>1037</v>
      </c>
      <c r="B680" s="24" t="s">
        <v>1038</v>
      </c>
      <c r="C680" s="17" t="s">
        <v>988</v>
      </c>
      <c r="D680" s="17" t="s">
        <v>491</v>
      </c>
      <c r="E680" s="17"/>
      <c r="F680" s="25">
        <v>11.3</v>
      </c>
      <c r="G680" s="25">
        <v>11.3</v>
      </c>
      <c r="H680" s="25">
        <v>11.3</v>
      </c>
      <c r="I680" s="25">
        <v>11.3</v>
      </c>
      <c r="J680" s="17" t="s">
        <v>1039</v>
      </c>
      <c r="K680" s="19" t="s">
        <v>20</v>
      </c>
      <c r="L680" s="19">
        <v>100</v>
      </c>
      <c r="M680" s="19">
        <v>100</v>
      </c>
      <c r="N680" s="43">
        <v>100</v>
      </c>
    </row>
    <row r="681" spans="1:14" ht="30" x14ac:dyDescent="0.25">
      <c r="A681" s="23" t="s">
        <v>1040</v>
      </c>
      <c r="B681" s="24" t="s">
        <v>1041</v>
      </c>
      <c r="C681" s="17" t="s">
        <v>376</v>
      </c>
      <c r="D681" s="17" t="s">
        <v>491</v>
      </c>
      <c r="E681" s="17"/>
      <c r="F681" s="25">
        <v>0.2</v>
      </c>
      <c r="G681" s="25">
        <v>0.2</v>
      </c>
      <c r="H681" s="25">
        <v>0.2</v>
      </c>
      <c r="I681" s="25">
        <v>0.2</v>
      </c>
      <c r="J681" s="17" t="s">
        <v>1039</v>
      </c>
      <c r="K681" s="19" t="s">
        <v>20</v>
      </c>
      <c r="L681" s="19">
        <v>100</v>
      </c>
      <c r="M681" s="19">
        <v>100</v>
      </c>
      <c r="N681" s="43">
        <v>100</v>
      </c>
    </row>
    <row r="682" spans="1:14" x14ac:dyDescent="0.25">
      <c r="A682" s="23" t="s">
        <v>1042</v>
      </c>
      <c r="B682" s="24" t="s">
        <v>1043</v>
      </c>
      <c r="C682" s="17" t="s">
        <v>1044</v>
      </c>
      <c r="D682" s="17" t="s">
        <v>491</v>
      </c>
      <c r="E682" s="17"/>
      <c r="F682" s="25">
        <v>28.8</v>
      </c>
      <c r="G682" s="25">
        <v>28.8</v>
      </c>
      <c r="H682" s="25">
        <v>28.8</v>
      </c>
      <c r="I682" s="25">
        <v>28.8</v>
      </c>
      <c r="J682" s="17" t="s">
        <v>1039</v>
      </c>
      <c r="K682" s="19" t="s">
        <v>20</v>
      </c>
      <c r="L682" s="19">
        <v>100</v>
      </c>
      <c r="M682" s="19">
        <v>100</v>
      </c>
      <c r="N682" s="43">
        <v>100</v>
      </c>
    </row>
    <row r="683" spans="1:14" ht="30" x14ac:dyDescent="0.25">
      <c r="A683" s="23" t="s">
        <v>1045</v>
      </c>
      <c r="B683" s="24" t="s">
        <v>1046</v>
      </c>
      <c r="C683" s="17" t="s">
        <v>1047</v>
      </c>
      <c r="D683" s="17" t="s">
        <v>491</v>
      </c>
      <c r="E683" s="17"/>
      <c r="F683" s="25">
        <v>58.4</v>
      </c>
      <c r="G683" s="25">
        <v>58.4</v>
      </c>
      <c r="H683" s="25">
        <v>58.4</v>
      </c>
      <c r="I683" s="25">
        <v>58.4</v>
      </c>
      <c r="J683" s="17" t="s">
        <v>1039</v>
      </c>
      <c r="K683" s="19" t="s">
        <v>20</v>
      </c>
      <c r="L683" s="19">
        <v>100</v>
      </c>
      <c r="M683" s="19">
        <v>100</v>
      </c>
      <c r="N683" s="43">
        <v>100</v>
      </c>
    </row>
    <row r="684" spans="1:14" ht="30" x14ac:dyDescent="0.25">
      <c r="A684" s="23" t="s">
        <v>1048</v>
      </c>
      <c r="B684" s="24" t="s">
        <v>1049</v>
      </c>
      <c r="C684" s="17" t="s">
        <v>1047</v>
      </c>
      <c r="D684" s="17" t="s">
        <v>491</v>
      </c>
      <c r="E684" s="17"/>
      <c r="F684" s="25">
        <v>1.9</v>
      </c>
      <c r="G684" s="25">
        <v>1.9</v>
      </c>
      <c r="H684" s="25">
        <v>1.9</v>
      </c>
      <c r="I684" s="25">
        <v>1.9</v>
      </c>
      <c r="J684" s="17" t="s">
        <v>1039</v>
      </c>
      <c r="K684" s="19" t="s">
        <v>20</v>
      </c>
      <c r="L684" s="19">
        <v>100</v>
      </c>
      <c r="M684" s="19">
        <v>100</v>
      </c>
      <c r="N684" s="43">
        <v>100</v>
      </c>
    </row>
    <row r="685" spans="1:14" ht="30" x14ac:dyDescent="0.25">
      <c r="A685" s="23" t="s">
        <v>1050</v>
      </c>
      <c r="B685" s="24" t="s">
        <v>1051</v>
      </c>
      <c r="C685" s="17" t="s">
        <v>91</v>
      </c>
      <c r="D685" s="17" t="s">
        <v>491</v>
      </c>
      <c r="E685" s="17"/>
      <c r="F685" s="25">
        <v>17</v>
      </c>
      <c r="G685" s="25">
        <v>17</v>
      </c>
      <c r="H685" s="25">
        <v>17</v>
      </c>
      <c r="I685" s="25">
        <v>17</v>
      </c>
      <c r="J685" s="17" t="s">
        <v>1039</v>
      </c>
      <c r="K685" s="19" t="s">
        <v>20</v>
      </c>
      <c r="L685" s="19">
        <v>100</v>
      </c>
      <c r="M685" s="19">
        <v>100</v>
      </c>
      <c r="N685" s="43">
        <v>100</v>
      </c>
    </row>
    <row r="686" spans="1:14" ht="45" x14ac:dyDescent="0.25">
      <c r="A686" s="23" t="s">
        <v>1052</v>
      </c>
      <c r="B686" s="24" t="s">
        <v>1053</v>
      </c>
      <c r="C686" s="17" t="s">
        <v>1054</v>
      </c>
      <c r="D686" s="17" t="s">
        <v>491</v>
      </c>
      <c r="E686" s="17"/>
      <c r="F686" s="25">
        <v>27.3</v>
      </c>
      <c r="G686" s="25">
        <v>27.3</v>
      </c>
      <c r="H686" s="25">
        <v>27.3</v>
      </c>
      <c r="I686" s="25">
        <v>27.3</v>
      </c>
      <c r="J686" s="17" t="s">
        <v>1039</v>
      </c>
      <c r="K686" s="19" t="s">
        <v>20</v>
      </c>
      <c r="L686" s="19">
        <v>100</v>
      </c>
      <c r="M686" s="19">
        <v>100</v>
      </c>
      <c r="N686" s="43">
        <v>100</v>
      </c>
    </row>
    <row r="687" spans="1:14" x14ac:dyDescent="0.25">
      <c r="A687" s="23" t="s">
        <v>1055</v>
      </c>
      <c r="B687" s="24" t="s">
        <v>1056</v>
      </c>
      <c r="C687" s="17" t="s">
        <v>988</v>
      </c>
      <c r="D687" s="17" t="s">
        <v>491</v>
      </c>
      <c r="E687" s="17"/>
      <c r="F687" s="25">
        <v>80.599999999999994</v>
      </c>
      <c r="G687" s="25">
        <v>80.599999999999994</v>
      </c>
      <c r="H687" s="25">
        <v>80.599999999999994</v>
      </c>
      <c r="I687" s="25">
        <v>80.599999999999994</v>
      </c>
      <c r="J687" s="17" t="s">
        <v>1039</v>
      </c>
      <c r="K687" s="19" t="s">
        <v>20</v>
      </c>
      <c r="L687" s="19">
        <v>100</v>
      </c>
      <c r="M687" s="19">
        <v>100</v>
      </c>
      <c r="N687" s="43">
        <v>100</v>
      </c>
    </row>
    <row r="688" spans="1:14" ht="30" x14ac:dyDescent="0.25">
      <c r="A688" s="23" t="s">
        <v>1057</v>
      </c>
      <c r="B688" s="24" t="s">
        <v>1058</v>
      </c>
      <c r="C688" s="17" t="s">
        <v>984</v>
      </c>
      <c r="D688" s="17" t="s">
        <v>491</v>
      </c>
      <c r="E688" s="17"/>
      <c r="F688" s="25">
        <v>40.1</v>
      </c>
      <c r="G688" s="25">
        <v>24.9</v>
      </c>
      <c r="H688" s="25">
        <v>40.1</v>
      </c>
      <c r="I688" s="25">
        <v>40.1</v>
      </c>
      <c r="J688" s="17" t="s">
        <v>1039</v>
      </c>
      <c r="K688" s="19" t="s">
        <v>20</v>
      </c>
      <c r="L688" s="19">
        <v>100</v>
      </c>
      <c r="M688" s="19">
        <v>100</v>
      </c>
      <c r="N688" s="43">
        <v>100</v>
      </c>
    </row>
    <row r="689" spans="1:14" ht="30" x14ac:dyDescent="0.25">
      <c r="A689" s="23" t="s">
        <v>1059</v>
      </c>
      <c r="B689" s="24" t="s">
        <v>1060</v>
      </c>
      <c r="C689" s="17" t="s">
        <v>984</v>
      </c>
      <c r="D689" s="17" t="s">
        <v>491</v>
      </c>
      <c r="E689" s="17"/>
      <c r="F689" s="25">
        <v>92.2</v>
      </c>
      <c r="G689" s="25">
        <v>92.2</v>
      </c>
      <c r="H689" s="25">
        <v>92.2</v>
      </c>
      <c r="I689" s="25">
        <v>92.2</v>
      </c>
      <c r="J689" s="17" t="s">
        <v>1039</v>
      </c>
      <c r="K689" s="19" t="s">
        <v>20</v>
      </c>
      <c r="L689" s="19">
        <v>100</v>
      </c>
      <c r="M689" s="19">
        <v>100</v>
      </c>
      <c r="N689" s="43">
        <v>100</v>
      </c>
    </row>
    <row r="690" spans="1:14" ht="30" x14ac:dyDescent="0.25">
      <c r="A690" s="23" t="s">
        <v>1061</v>
      </c>
      <c r="B690" s="24" t="s">
        <v>1062</v>
      </c>
      <c r="C690" s="17" t="s">
        <v>185</v>
      </c>
      <c r="D690" s="17" t="s">
        <v>491</v>
      </c>
      <c r="E690" s="17"/>
      <c r="F690" s="25">
        <v>8.4</v>
      </c>
      <c r="G690" s="25">
        <v>8.4</v>
      </c>
      <c r="H690" s="25">
        <v>8.4</v>
      </c>
      <c r="I690" s="25">
        <v>8.4</v>
      </c>
      <c r="J690" s="17" t="s">
        <v>1039</v>
      </c>
      <c r="K690" s="19" t="s">
        <v>20</v>
      </c>
      <c r="L690" s="19">
        <v>100</v>
      </c>
      <c r="M690" s="19">
        <v>100</v>
      </c>
      <c r="N690" s="43">
        <v>100</v>
      </c>
    </row>
    <row r="691" spans="1:14" ht="30" x14ac:dyDescent="0.25">
      <c r="A691" s="23" t="s">
        <v>1063</v>
      </c>
      <c r="B691" s="24" t="s">
        <v>1064</v>
      </c>
      <c r="C691" s="17" t="s">
        <v>868</v>
      </c>
      <c r="D691" s="17" t="s">
        <v>491</v>
      </c>
      <c r="E691" s="17"/>
      <c r="F691" s="25">
        <v>7.6</v>
      </c>
      <c r="G691" s="25">
        <v>7.6</v>
      </c>
      <c r="H691" s="25">
        <v>7.6</v>
      </c>
      <c r="I691" s="25">
        <v>7.6</v>
      </c>
      <c r="J691" s="17" t="s">
        <v>1039</v>
      </c>
      <c r="K691" s="19" t="s">
        <v>20</v>
      </c>
      <c r="L691" s="19">
        <v>100</v>
      </c>
      <c r="M691" s="19">
        <v>100</v>
      </c>
      <c r="N691" s="43">
        <v>100</v>
      </c>
    </row>
    <row r="692" spans="1:14" ht="30" x14ac:dyDescent="0.25">
      <c r="A692" s="23" t="s">
        <v>1065</v>
      </c>
      <c r="B692" s="24" t="s">
        <v>1066</v>
      </c>
      <c r="C692" s="17" t="s">
        <v>964</v>
      </c>
      <c r="D692" s="17" t="s">
        <v>491</v>
      </c>
      <c r="E692" s="17"/>
      <c r="F692" s="25">
        <v>22</v>
      </c>
      <c r="G692" s="25">
        <v>22</v>
      </c>
      <c r="H692" s="25">
        <v>22</v>
      </c>
      <c r="I692" s="25">
        <v>22</v>
      </c>
      <c r="J692" s="17" t="s">
        <v>1039</v>
      </c>
      <c r="K692" s="19" t="s">
        <v>20</v>
      </c>
      <c r="L692" s="19">
        <v>100</v>
      </c>
      <c r="M692" s="19">
        <v>100</v>
      </c>
      <c r="N692" s="43">
        <v>100</v>
      </c>
    </row>
    <row r="693" spans="1:14" ht="30" x14ac:dyDescent="0.25">
      <c r="A693" s="23" t="s">
        <v>1067</v>
      </c>
      <c r="B693" s="24" t="s">
        <v>1068</v>
      </c>
      <c r="C693" s="17" t="s">
        <v>964</v>
      </c>
      <c r="D693" s="17" t="s">
        <v>491</v>
      </c>
      <c r="E693" s="17"/>
      <c r="F693" s="25">
        <v>55.8</v>
      </c>
      <c r="G693" s="25">
        <v>59.8</v>
      </c>
      <c r="H693" s="25">
        <v>55.8</v>
      </c>
      <c r="I693" s="25">
        <v>55.8</v>
      </c>
      <c r="J693" s="17" t="s">
        <v>1039</v>
      </c>
      <c r="K693" s="19" t="s">
        <v>20</v>
      </c>
      <c r="L693" s="19">
        <v>100</v>
      </c>
      <c r="M693" s="19">
        <v>100</v>
      </c>
      <c r="N693" s="43">
        <v>100</v>
      </c>
    </row>
    <row r="694" spans="1:14" x14ac:dyDescent="0.25">
      <c r="A694" s="23" t="s">
        <v>1069</v>
      </c>
      <c r="B694" s="24" t="s">
        <v>1070</v>
      </c>
      <c r="C694" s="17" t="s">
        <v>868</v>
      </c>
      <c r="D694" s="17" t="s">
        <v>491</v>
      </c>
      <c r="E694" s="17"/>
      <c r="F694" s="25">
        <v>46.7</v>
      </c>
      <c r="G694" s="25">
        <v>101.1</v>
      </c>
      <c r="H694" s="25">
        <v>46.7</v>
      </c>
      <c r="I694" s="25">
        <v>46.7</v>
      </c>
      <c r="J694" s="17" t="s">
        <v>1039</v>
      </c>
      <c r="K694" s="19" t="s">
        <v>20</v>
      </c>
      <c r="L694" s="19">
        <v>100</v>
      </c>
      <c r="M694" s="19">
        <v>100</v>
      </c>
      <c r="N694" s="43">
        <v>100</v>
      </c>
    </row>
    <row r="695" spans="1:14" ht="30.75" thickBot="1" x14ac:dyDescent="0.3">
      <c r="A695" s="23" t="s">
        <v>1071</v>
      </c>
      <c r="B695" s="24" t="s">
        <v>1072</v>
      </c>
      <c r="C695" s="17" t="s">
        <v>442</v>
      </c>
      <c r="D695" s="17" t="s">
        <v>491</v>
      </c>
      <c r="E695" s="17"/>
      <c r="F695" s="25">
        <v>0</v>
      </c>
      <c r="G695" s="25">
        <v>0.2</v>
      </c>
      <c r="H695" s="25">
        <v>0</v>
      </c>
      <c r="I695" s="25">
        <v>0</v>
      </c>
      <c r="J695" s="17" t="s">
        <v>1073</v>
      </c>
      <c r="K695" s="19" t="s">
        <v>24</v>
      </c>
      <c r="L695" s="19">
        <v>3</v>
      </c>
      <c r="M695" s="19"/>
      <c r="N695" s="43"/>
    </row>
    <row r="696" spans="1:14" x14ac:dyDescent="0.25">
      <c r="A696" s="55" t="s">
        <v>1074</v>
      </c>
      <c r="B696" s="58" t="s">
        <v>1075</v>
      </c>
      <c r="C696" s="58" t="s">
        <v>964</v>
      </c>
      <c r="D696" s="17"/>
      <c r="E696" s="17"/>
      <c r="F696" s="18">
        <f>SUM(F697:F698)</f>
        <v>2.2999999999999998</v>
      </c>
      <c r="G696" s="18">
        <f>SUM(G697:G698)</f>
        <v>3.4</v>
      </c>
      <c r="H696" s="18">
        <f>SUM(H697:H698)</f>
        <v>2.2999999999999998</v>
      </c>
      <c r="I696" s="18">
        <f>SUM(I697:I698)</f>
        <v>2.2999999999999998</v>
      </c>
      <c r="J696" s="17" t="s">
        <v>1039</v>
      </c>
      <c r="K696" s="19" t="s">
        <v>20</v>
      </c>
      <c r="L696" s="19">
        <v>100</v>
      </c>
      <c r="M696" s="19">
        <v>100</v>
      </c>
      <c r="N696" s="43">
        <v>100</v>
      </c>
    </row>
    <row r="697" spans="1:14" x14ac:dyDescent="0.25">
      <c r="A697" s="56"/>
      <c r="B697" s="59"/>
      <c r="C697" s="59"/>
      <c r="D697" s="20" t="s">
        <v>121</v>
      </c>
      <c r="E697" s="20"/>
      <c r="F697" s="21">
        <v>0</v>
      </c>
      <c r="G697" s="21">
        <v>0.5</v>
      </c>
      <c r="H697" s="21">
        <v>0</v>
      </c>
      <c r="I697" s="21">
        <v>0</v>
      </c>
      <c r="J697" s="20"/>
      <c r="K697" s="22"/>
      <c r="L697" s="22"/>
      <c r="M697" s="22"/>
      <c r="N697" s="44"/>
    </row>
    <row r="698" spans="1:14" ht="15.75" thickBot="1" x14ac:dyDescent="0.3">
      <c r="A698" s="57"/>
      <c r="B698" s="60"/>
      <c r="C698" s="60"/>
      <c r="D698" s="20" t="s">
        <v>491</v>
      </c>
      <c r="E698" s="20"/>
      <c r="F698" s="21">
        <v>2.2999999999999998</v>
      </c>
      <c r="G698" s="21">
        <v>2.9</v>
      </c>
      <c r="H698" s="21">
        <v>2.2999999999999998</v>
      </c>
      <c r="I698" s="21">
        <v>2.2999999999999998</v>
      </c>
      <c r="J698" s="20"/>
      <c r="K698" s="22"/>
      <c r="L698" s="22"/>
      <c r="M698" s="22"/>
      <c r="N698" s="44"/>
    </row>
    <row r="699" spans="1:14" x14ac:dyDescent="0.25">
      <c r="A699" s="55" t="s">
        <v>1076</v>
      </c>
      <c r="B699" s="58" t="s">
        <v>1077</v>
      </c>
      <c r="C699" s="58" t="s">
        <v>792</v>
      </c>
      <c r="D699" s="17" t="s">
        <v>491</v>
      </c>
      <c r="E699" s="17"/>
      <c r="F699" s="18">
        <f>SUM(F700:F700)+8.4</f>
        <v>8.4</v>
      </c>
      <c r="G699" s="18">
        <f>SUM(G700:G700)+8.4</f>
        <v>8.4</v>
      </c>
      <c r="H699" s="18">
        <f>SUM(H700:H700)+8.4</f>
        <v>8.4</v>
      </c>
      <c r="I699" s="18">
        <f>SUM(I700:I700)+8.4</f>
        <v>8.4</v>
      </c>
      <c r="J699" s="17" t="s">
        <v>1078</v>
      </c>
      <c r="K699" s="19" t="s">
        <v>24</v>
      </c>
      <c r="L699" s="19">
        <v>2</v>
      </c>
      <c r="M699" s="19">
        <v>2</v>
      </c>
      <c r="N699" s="43">
        <v>2</v>
      </c>
    </row>
    <row r="700" spans="1:14" ht="15.75" thickBot="1" x14ac:dyDescent="0.3">
      <c r="A700" s="57"/>
      <c r="B700" s="60"/>
      <c r="C700" s="60"/>
      <c r="D700" s="20"/>
      <c r="E700" s="20"/>
      <c r="F700" s="21">
        <v>0</v>
      </c>
      <c r="G700" s="21">
        <v>0</v>
      </c>
      <c r="H700" s="21">
        <v>0</v>
      </c>
      <c r="I700" s="21">
        <v>0</v>
      </c>
      <c r="J700" s="20" t="s">
        <v>1079</v>
      </c>
      <c r="K700" s="22" t="s">
        <v>24</v>
      </c>
      <c r="L700" s="22">
        <v>250</v>
      </c>
      <c r="M700" s="22">
        <v>250</v>
      </c>
      <c r="N700" s="44">
        <v>250</v>
      </c>
    </row>
    <row r="701" spans="1:14" ht="45.75" thickBot="1" x14ac:dyDescent="0.3">
      <c r="A701" s="23" t="s">
        <v>1080</v>
      </c>
      <c r="B701" s="24" t="s">
        <v>1081</v>
      </c>
      <c r="C701" s="17" t="s">
        <v>998</v>
      </c>
      <c r="D701" s="17" t="s">
        <v>121</v>
      </c>
      <c r="E701" s="17"/>
      <c r="F701" s="25">
        <v>0</v>
      </c>
      <c r="G701" s="25">
        <v>28.9</v>
      </c>
      <c r="H701" s="25">
        <v>0</v>
      </c>
      <c r="I701" s="25">
        <v>0</v>
      </c>
      <c r="J701" s="17" t="s">
        <v>1039</v>
      </c>
      <c r="K701" s="19" t="s">
        <v>20</v>
      </c>
      <c r="L701" s="19">
        <v>100</v>
      </c>
      <c r="M701" s="19">
        <v>100</v>
      </c>
      <c r="N701" s="43">
        <v>100</v>
      </c>
    </row>
    <row r="702" spans="1:14" ht="30.75" thickBot="1" x14ac:dyDescent="0.3">
      <c r="A702" s="23" t="s">
        <v>1082</v>
      </c>
      <c r="B702" s="24" t="s">
        <v>1083</v>
      </c>
      <c r="C702" s="17" t="s">
        <v>998</v>
      </c>
      <c r="D702" s="17" t="s">
        <v>491</v>
      </c>
      <c r="E702" s="17"/>
      <c r="F702" s="25">
        <v>38.799999999999997</v>
      </c>
      <c r="G702" s="25">
        <v>38.799999999999997</v>
      </c>
      <c r="H702" s="25">
        <v>38.799999999999997</v>
      </c>
      <c r="I702" s="25">
        <v>38.799999999999997</v>
      </c>
      <c r="J702" s="17" t="s">
        <v>1084</v>
      </c>
      <c r="K702" s="19" t="s">
        <v>20</v>
      </c>
      <c r="L702" s="19">
        <v>100</v>
      </c>
      <c r="M702" s="19">
        <v>100</v>
      </c>
      <c r="N702" s="43">
        <v>100</v>
      </c>
    </row>
    <row r="703" spans="1:14" ht="30.75" customHeight="1" thickBot="1" x14ac:dyDescent="0.3">
      <c r="A703" s="15" t="s">
        <v>1085</v>
      </c>
      <c r="B703" s="72" t="s">
        <v>1086</v>
      </c>
      <c r="C703" s="73"/>
      <c r="D703" s="73"/>
      <c r="E703" s="74"/>
      <c r="F703" s="16">
        <f>F704+F705+F710</f>
        <v>689.2</v>
      </c>
      <c r="G703" s="16">
        <f>G704+G705+G710</f>
        <v>676</v>
      </c>
      <c r="H703" s="16">
        <f>H704+H705+H710</f>
        <v>37.1</v>
      </c>
      <c r="I703" s="16">
        <f>I704+I705+I710</f>
        <v>0</v>
      </c>
      <c r="J703" s="72"/>
      <c r="K703" s="73"/>
      <c r="L703" s="73"/>
      <c r="M703" s="73"/>
      <c r="N703" s="75"/>
    </row>
    <row r="704" spans="1:14" ht="60.75" thickBot="1" x14ac:dyDescent="0.3">
      <c r="A704" s="23" t="s">
        <v>1087</v>
      </c>
      <c r="B704" s="24" t="s">
        <v>1088</v>
      </c>
      <c r="C704" s="17" t="s">
        <v>988</v>
      </c>
      <c r="D704" s="17"/>
      <c r="E704" s="17"/>
      <c r="F704" s="25">
        <v>0</v>
      </c>
      <c r="G704" s="25">
        <v>0</v>
      </c>
      <c r="H704" s="25">
        <v>0</v>
      </c>
      <c r="I704" s="25">
        <v>0</v>
      </c>
      <c r="J704" s="17" t="s">
        <v>1089</v>
      </c>
      <c r="K704" s="19" t="s">
        <v>24</v>
      </c>
      <c r="L704" s="19">
        <v>10</v>
      </c>
      <c r="M704" s="19">
        <v>10</v>
      </c>
      <c r="N704" s="43">
        <v>10</v>
      </c>
    </row>
    <row r="705" spans="1:14" ht="53.25" customHeight="1" x14ac:dyDescent="0.25">
      <c r="A705" s="55" t="s">
        <v>1090</v>
      </c>
      <c r="B705" s="58" t="s">
        <v>1091</v>
      </c>
      <c r="C705" s="58" t="s">
        <v>1092</v>
      </c>
      <c r="D705" s="17"/>
      <c r="E705" s="17"/>
      <c r="F705" s="18">
        <f>SUM(F706:F709)</f>
        <v>561.70000000000005</v>
      </c>
      <c r="G705" s="18">
        <f>SUM(G706:G709)</f>
        <v>614.70000000000005</v>
      </c>
      <c r="H705" s="18">
        <f>SUM(H706:H709)</f>
        <v>37.1</v>
      </c>
      <c r="I705" s="18">
        <f>SUM(I706:I709)</f>
        <v>0</v>
      </c>
      <c r="J705" s="17" t="s">
        <v>1093</v>
      </c>
      <c r="K705" s="19" t="s">
        <v>24</v>
      </c>
      <c r="L705" s="19">
        <v>4</v>
      </c>
      <c r="M705" s="19"/>
      <c r="N705" s="43"/>
    </row>
    <row r="706" spans="1:14" ht="30.75" customHeight="1" x14ac:dyDescent="0.25">
      <c r="A706" s="56"/>
      <c r="B706" s="59"/>
      <c r="C706" s="59"/>
      <c r="D706" s="20" t="s">
        <v>136</v>
      </c>
      <c r="E706" s="20"/>
      <c r="F706" s="21">
        <v>480</v>
      </c>
      <c r="G706" s="21">
        <v>480</v>
      </c>
      <c r="H706" s="21">
        <v>0</v>
      </c>
      <c r="I706" s="21">
        <v>0</v>
      </c>
      <c r="J706" s="20" t="s">
        <v>1094</v>
      </c>
      <c r="K706" s="22" t="s">
        <v>24</v>
      </c>
      <c r="L706" s="22">
        <v>1</v>
      </c>
      <c r="M706" s="22"/>
      <c r="N706" s="44"/>
    </row>
    <row r="707" spans="1:14" ht="30" x14ac:dyDescent="0.25">
      <c r="A707" s="56"/>
      <c r="B707" s="59"/>
      <c r="C707" s="59"/>
      <c r="D707" s="20" t="s">
        <v>35</v>
      </c>
      <c r="E707" s="20"/>
      <c r="F707" s="21">
        <v>2.2000000000000002</v>
      </c>
      <c r="G707" s="21">
        <v>9.3000000000000007</v>
      </c>
      <c r="H707" s="21">
        <v>0</v>
      </c>
      <c r="I707" s="21">
        <v>0</v>
      </c>
      <c r="J707" s="20" t="s">
        <v>164</v>
      </c>
      <c r="K707" s="22" t="s">
        <v>24</v>
      </c>
      <c r="L707" s="22"/>
      <c r="M707" s="22">
        <v>1</v>
      </c>
      <c r="N707" s="44"/>
    </row>
    <row r="708" spans="1:14" x14ac:dyDescent="0.25">
      <c r="A708" s="56"/>
      <c r="B708" s="59"/>
      <c r="C708" s="59"/>
      <c r="D708" s="20" t="s">
        <v>121</v>
      </c>
      <c r="E708" s="20"/>
      <c r="F708" s="21">
        <v>59</v>
      </c>
      <c r="G708" s="21">
        <v>74.900000000000006</v>
      </c>
      <c r="H708" s="21">
        <v>37.1</v>
      </c>
      <c r="I708" s="21"/>
      <c r="J708" s="20"/>
      <c r="K708" s="22"/>
      <c r="L708" s="22"/>
      <c r="M708" s="22"/>
      <c r="N708" s="44"/>
    </row>
    <row r="709" spans="1:14" ht="15.75" thickBot="1" x14ac:dyDescent="0.3">
      <c r="A709" s="57"/>
      <c r="B709" s="60"/>
      <c r="C709" s="60"/>
      <c r="D709" s="20" t="s">
        <v>30</v>
      </c>
      <c r="E709" s="20"/>
      <c r="F709" s="21">
        <v>20.5</v>
      </c>
      <c r="G709" s="21">
        <v>50.5</v>
      </c>
      <c r="H709" s="21"/>
      <c r="I709" s="21"/>
      <c r="J709" s="20"/>
      <c r="K709" s="22"/>
      <c r="L709" s="22"/>
      <c r="M709" s="22"/>
      <c r="N709" s="44"/>
    </row>
    <row r="710" spans="1:14" ht="44.25" customHeight="1" x14ac:dyDescent="0.25">
      <c r="A710" s="55" t="s">
        <v>1095</v>
      </c>
      <c r="B710" s="58" t="s">
        <v>1096</v>
      </c>
      <c r="C710" s="58" t="s">
        <v>1097</v>
      </c>
      <c r="D710" s="17"/>
      <c r="E710" s="17"/>
      <c r="F710" s="18">
        <f>SUM(F711:F711)</f>
        <v>127.5</v>
      </c>
      <c r="G710" s="18">
        <f>SUM(G711:G711)</f>
        <v>61.3</v>
      </c>
      <c r="H710" s="18">
        <f>SUM(H711:H711)</f>
        <v>0</v>
      </c>
      <c r="I710" s="18">
        <f>SUM(I711:I711)</f>
        <v>0</v>
      </c>
      <c r="J710" s="17" t="s">
        <v>1098</v>
      </c>
      <c r="K710" s="19" t="s">
        <v>255</v>
      </c>
      <c r="L710" s="19">
        <v>6</v>
      </c>
      <c r="M710" s="19"/>
      <c r="N710" s="43"/>
    </row>
    <row r="711" spans="1:14" ht="15.75" thickBot="1" x14ac:dyDescent="0.3">
      <c r="A711" s="57"/>
      <c r="B711" s="60"/>
      <c r="C711" s="60"/>
      <c r="D711" s="20" t="s">
        <v>35</v>
      </c>
      <c r="E711" s="20"/>
      <c r="F711" s="21">
        <v>127.5</v>
      </c>
      <c r="G711" s="21">
        <v>61.3</v>
      </c>
      <c r="H711" s="21">
        <v>0</v>
      </c>
      <c r="I711" s="21">
        <v>0</v>
      </c>
      <c r="J711" s="20" t="s">
        <v>1099</v>
      </c>
      <c r="K711" s="22" t="s">
        <v>24</v>
      </c>
      <c r="L711" s="22">
        <v>2</v>
      </c>
      <c r="M711" s="22"/>
      <c r="N711" s="44"/>
    </row>
    <row r="712" spans="1:14" ht="26.25" customHeight="1" thickBot="1" x14ac:dyDescent="0.3">
      <c r="A712" s="15" t="s">
        <v>1100</v>
      </c>
      <c r="B712" s="72" t="s">
        <v>1101</v>
      </c>
      <c r="C712" s="73"/>
      <c r="D712" s="73"/>
      <c r="E712" s="74"/>
      <c r="F712" s="16">
        <f>F713+F715+F718+F719</f>
        <v>7785.6</v>
      </c>
      <c r="G712" s="16">
        <f>G713+G715+G718+G719</f>
        <v>9457.0999999999985</v>
      </c>
      <c r="H712" s="16">
        <f>H713+H715+H718+H719</f>
        <v>7095.3</v>
      </c>
      <c r="I712" s="16">
        <f>I713+I715+I718+I719</f>
        <v>6630.5</v>
      </c>
      <c r="J712" s="61"/>
      <c r="K712" s="62"/>
      <c r="L712" s="62"/>
      <c r="M712" s="62"/>
      <c r="N712" s="63"/>
    </row>
    <row r="713" spans="1:14" x14ac:dyDescent="0.25">
      <c r="A713" s="55" t="s">
        <v>1102</v>
      </c>
      <c r="B713" s="58" t="s">
        <v>1103</v>
      </c>
      <c r="C713" s="58" t="s">
        <v>1030</v>
      </c>
      <c r="D713" s="17"/>
      <c r="E713" s="17"/>
      <c r="F713" s="18">
        <f>SUM(F714:F714)</f>
        <v>4905.1000000000004</v>
      </c>
      <c r="G713" s="18">
        <f>SUM(G714:G714)</f>
        <v>6386.2</v>
      </c>
      <c r="H713" s="18">
        <f>SUM(H714:H714)</f>
        <v>4045.3</v>
      </c>
      <c r="I713" s="18">
        <f>SUM(I714:I714)</f>
        <v>3065.6</v>
      </c>
      <c r="J713" s="17" t="s">
        <v>1104</v>
      </c>
      <c r="K713" s="19" t="s">
        <v>255</v>
      </c>
      <c r="L713" s="19">
        <v>8</v>
      </c>
      <c r="M713" s="19">
        <v>8</v>
      </c>
      <c r="N713" s="43">
        <v>8</v>
      </c>
    </row>
    <row r="714" spans="1:14" ht="15.75" thickBot="1" x14ac:dyDescent="0.3">
      <c r="A714" s="57"/>
      <c r="B714" s="60"/>
      <c r="C714" s="60"/>
      <c r="D714" s="20" t="s">
        <v>30</v>
      </c>
      <c r="E714" s="20"/>
      <c r="F714" s="21">
        <v>4905.1000000000004</v>
      </c>
      <c r="G714" s="21">
        <v>6386.2</v>
      </c>
      <c r="H714" s="21">
        <v>4045.3</v>
      </c>
      <c r="I714" s="21">
        <v>3065.6</v>
      </c>
      <c r="J714" s="20" t="s">
        <v>1105</v>
      </c>
      <c r="K714" s="22" t="s">
        <v>20</v>
      </c>
      <c r="L714" s="22">
        <v>100</v>
      </c>
      <c r="M714" s="22">
        <v>100</v>
      </c>
      <c r="N714" s="44">
        <v>100</v>
      </c>
    </row>
    <row r="715" spans="1:14" ht="27" customHeight="1" x14ac:dyDescent="0.25">
      <c r="A715" s="55" t="s">
        <v>1106</v>
      </c>
      <c r="B715" s="58" t="s">
        <v>1107</v>
      </c>
      <c r="C715" s="58" t="s">
        <v>376</v>
      </c>
      <c r="D715" s="17"/>
      <c r="E715" s="17"/>
      <c r="F715" s="18">
        <f>SUM(F716:F717)</f>
        <v>2706.8</v>
      </c>
      <c r="G715" s="18">
        <f>SUM(G716:G717)</f>
        <v>2897.1000000000004</v>
      </c>
      <c r="H715" s="18">
        <f>SUM(H716:H717)</f>
        <v>2705</v>
      </c>
      <c r="I715" s="18">
        <f>SUM(I716:I717)</f>
        <v>3219.9</v>
      </c>
      <c r="J715" s="17" t="s">
        <v>1108</v>
      </c>
      <c r="K715" s="19" t="s">
        <v>20</v>
      </c>
      <c r="L715" s="19">
        <v>100</v>
      </c>
      <c r="M715" s="19">
        <v>100</v>
      </c>
      <c r="N715" s="43">
        <v>100</v>
      </c>
    </row>
    <row r="716" spans="1:14" x14ac:dyDescent="0.25">
      <c r="A716" s="56"/>
      <c r="B716" s="59"/>
      <c r="C716" s="59"/>
      <c r="D716" s="20" t="s">
        <v>30</v>
      </c>
      <c r="E716" s="20"/>
      <c r="F716" s="21">
        <v>1989</v>
      </c>
      <c r="G716" s="21">
        <v>2179.3000000000002</v>
      </c>
      <c r="H716" s="21">
        <v>2705</v>
      </c>
      <c r="I716" s="21">
        <v>3219.9</v>
      </c>
      <c r="J716" s="20"/>
      <c r="K716" s="22"/>
      <c r="L716" s="22"/>
      <c r="M716" s="22"/>
      <c r="N716" s="44"/>
    </row>
    <row r="717" spans="1:14" ht="15.75" thickBot="1" x14ac:dyDescent="0.3">
      <c r="A717" s="57"/>
      <c r="B717" s="60"/>
      <c r="C717" s="60"/>
      <c r="D717" s="20" t="s">
        <v>35</v>
      </c>
      <c r="E717" s="20"/>
      <c r="F717" s="21">
        <v>717.8</v>
      </c>
      <c r="G717" s="21">
        <v>717.8</v>
      </c>
      <c r="H717" s="21">
        <v>0</v>
      </c>
      <c r="I717" s="21">
        <v>0</v>
      </c>
      <c r="J717" s="20"/>
      <c r="K717" s="22"/>
      <c r="L717" s="22"/>
      <c r="M717" s="22"/>
      <c r="N717" s="44"/>
    </row>
    <row r="718" spans="1:14" ht="30.75" thickBot="1" x14ac:dyDescent="0.3">
      <c r="A718" s="23" t="s">
        <v>1109</v>
      </c>
      <c r="B718" s="24" t="s">
        <v>1110</v>
      </c>
      <c r="C718" s="17" t="s">
        <v>134</v>
      </c>
      <c r="D718" s="17" t="s">
        <v>30</v>
      </c>
      <c r="E718" s="17"/>
      <c r="F718" s="25">
        <v>28.7</v>
      </c>
      <c r="G718" s="25">
        <v>28.8</v>
      </c>
      <c r="H718" s="25">
        <v>200</v>
      </c>
      <c r="I718" s="25">
        <v>200</v>
      </c>
      <c r="J718" s="17"/>
      <c r="K718" s="19"/>
      <c r="L718" s="19"/>
      <c r="M718" s="19"/>
      <c r="N718" s="43"/>
    </row>
    <row r="719" spans="1:14" ht="30" x14ac:dyDescent="0.25">
      <c r="A719" s="55" t="s">
        <v>1111</v>
      </c>
      <c r="B719" s="58" t="s">
        <v>1112</v>
      </c>
      <c r="C719" s="58" t="s">
        <v>586</v>
      </c>
      <c r="D719" s="17" t="s">
        <v>30</v>
      </c>
      <c r="E719" s="17"/>
      <c r="F719" s="18">
        <f>SUM(F720:F720)+145</f>
        <v>145</v>
      </c>
      <c r="G719" s="18">
        <f>SUM(G720:G720)+145</f>
        <v>145</v>
      </c>
      <c r="H719" s="18">
        <f>SUM(H720:H720)+145</f>
        <v>145</v>
      </c>
      <c r="I719" s="18">
        <f>SUM(I720:I720)+145</f>
        <v>145</v>
      </c>
      <c r="J719" s="17" t="s">
        <v>1113</v>
      </c>
      <c r="K719" s="19" t="s">
        <v>20</v>
      </c>
      <c r="L719" s="19">
        <v>100</v>
      </c>
      <c r="M719" s="19">
        <v>100</v>
      </c>
      <c r="N719" s="43">
        <v>100</v>
      </c>
    </row>
    <row r="720" spans="1:14" ht="30.75" thickBot="1" x14ac:dyDescent="0.3">
      <c r="A720" s="57"/>
      <c r="B720" s="60"/>
      <c r="C720" s="60"/>
      <c r="D720" s="20"/>
      <c r="E720" s="20"/>
      <c r="F720" s="21">
        <v>0</v>
      </c>
      <c r="G720" s="21">
        <v>0</v>
      </c>
      <c r="H720" s="21">
        <v>0</v>
      </c>
      <c r="I720" s="21">
        <v>0</v>
      </c>
      <c r="J720" s="20" t="s">
        <v>1114</v>
      </c>
      <c r="K720" s="22" t="s">
        <v>255</v>
      </c>
      <c r="L720" s="22">
        <v>74</v>
      </c>
      <c r="M720" s="22">
        <v>74</v>
      </c>
      <c r="N720" s="44">
        <v>74</v>
      </c>
    </row>
    <row r="721" spans="1:14" ht="30.75" customHeight="1" thickBot="1" x14ac:dyDescent="0.3">
      <c r="A721" s="15" t="s">
        <v>1115</v>
      </c>
      <c r="B721" s="72" t="s">
        <v>1116</v>
      </c>
      <c r="C721" s="73"/>
      <c r="D721" s="73"/>
      <c r="E721" s="74"/>
      <c r="F721" s="16">
        <f>SUM(F722:F724)</f>
        <v>11.9</v>
      </c>
      <c r="G721" s="16">
        <f>SUM(G722:G724)</f>
        <v>11.9</v>
      </c>
      <c r="H721" s="16">
        <f>SUM(H722:H724)</f>
        <v>12.1</v>
      </c>
      <c r="I721" s="16">
        <f>SUM(I722:I724)</f>
        <v>12.4</v>
      </c>
      <c r="J721" s="61"/>
      <c r="K721" s="62"/>
      <c r="L721" s="62"/>
      <c r="M721" s="62"/>
      <c r="N721" s="63"/>
    </row>
    <row r="722" spans="1:14" ht="60.75" thickBot="1" x14ac:dyDescent="0.3">
      <c r="A722" s="23" t="s">
        <v>1117</v>
      </c>
      <c r="B722" s="24" t="s">
        <v>1118</v>
      </c>
      <c r="C722" s="17" t="s">
        <v>988</v>
      </c>
      <c r="D722" s="17"/>
      <c r="E722" s="17"/>
      <c r="F722" s="25">
        <v>0</v>
      </c>
      <c r="G722" s="25">
        <v>0</v>
      </c>
      <c r="H722" s="25">
        <v>0</v>
      </c>
      <c r="I722" s="25">
        <v>0</v>
      </c>
      <c r="J722" s="17" t="s">
        <v>1119</v>
      </c>
      <c r="K722" s="19" t="s">
        <v>20</v>
      </c>
      <c r="L722" s="19">
        <v>100</v>
      </c>
      <c r="M722" s="19">
        <v>100</v>
      </c>
      <c r="N722" s="43">
        <v>100</v>
      </c>
    </row>
    <row r="723" spans="1:14" ht="60.75" thickBot="1" x14ac:dyDescent="0.3">
      <c r="A723" s="23" t="s">
        <v>1120</v>
      </c>
      <c r="B723" s="24" t="s">
        <v>1121</v>
      </c>
      <c r="C723" s="17" t="s">
        <v>988</v>
      </c>
      <c r="D723" s="17"/>
      <c r="E723" s="17"/>
      <c r="F723" s="25">
        <v>0</v>
      </c>
      <c r="G723" s="25">
        <v>0</v>
      </c>
      <c r="H723" s="25">
        <v>0</v>
      </c>
      <c r="I723" s="25">
        <v>0</v>
      </c>
      <c r="J723" s="17" t="s">
        <v>1122</v>
      </c>
      <c r="K723" s="19" t="s">
        <v>24</v>
      </c>
      <c r="L723" s="19">
        <v>2</v>
      </c>
      <c r="M723" s="19">
        <v>2</v>
      </c>
      <c r="N723" s="43">
        <v>2</v>
      </c>
    </row>
    <row r="724" spans="1:14" x14ac:dyDescent="0.25">
      <c r="A724" s="55" t="s">
        <v>1123</v>
      </c>
      <c r="B724" s="58" t="s">
        <v>1124</v>
      </c>
      <c r="C724" s="58" t="s">
        <v>988</v>
      </c>
      <c r="D724" s="17"/>
      <c r="E724" s="17"/>
      <c r="F724" s="18">
        <f>SUM(F725:F725)</f>
        <v>11.9</v>
      </c>
      <c r="G724" s="18">
        <f>SUM(G725:G725)</f>
        <v>11.9</v>
      </c>
      <c r="H724" s="18">
        <f>SUM(H725:H725)</f>
        <v>12.1</v>
      </c>
      <c r="I724" s="18">
        <f>SUM(I725:I725)</f>
        <v>12.4</v>
      </c>
      <c r="J724" s="17" t="s">
        <v>1125</v>
      </c>
      <c r="K724" s="19" t="s">
        <v>24</v>
      </c>
      <c r="L724" s="19">
        <v>3</v>
      </c>
      <c r="M724" s="19">
        <v>4</v>
      </c>
      <c r="N724" s="43">
        <v>4</v>
      </c>
    </row>
    <row r="725" spans="1:14" ht="15.75" thickBot="1" x14ac:dyDescent="0.3">
      <c r="A725" s="57"/>
      <c r="B725" s="60"/>
      <c r="C725" s="60"/>
      <c r="D725" s="20" t="s">
        <v>30</v>
      </c>
      <c r="E725" s="20"/>
      <c r="F725" s="21">
        <v>11.9</v>
      </c>
      <c r="G725" s="21">
        <v>11.9</v>
      </c>
      <c r="H725" s="21">
        <v>12.1</v>
      </c>
      <c r="I725" s="21">
        <v>12.4</v>
      </c>
      <c r="J725" s="20"/>
      <c r="K725" s="22"/>
      <c r="L725" s="22"/>
      <c r="M725" s="22"/>
      <c r="N725" s="44"/>
    </row>
    <row r="726" spans="1:14" x14ac:dyDescent="0.25">
      <c r="A726" s="64" t="s">
        <v>1126</v>
      </c>
      <c r="B726" s="66" t="s">
        <v>1127</v>
      </c>
      <c r="C726" s="67"/>
      <c r="D726" s="67"/>
      <c r="E726" s="68"/>
      <c r="F726" s="12">
        <f>SUM(F727:F728)</f>
        <v>596.40000000000009</v>
      </c>
      <c r="G726" s="12">
        <f>SUM(G727:G728)</f>
        <v>656.2</v>
      </c>
      <c r="H726" s="12">
        <f>SUM(H727:H728)</f>
        <v>381.6</v>
      </c>
      <c r="I726" s="12">
        <f>SUM(I727:I728)</f>
        <v>381.6</v>
      </c>
      <c r="J726" s="13" t="s">
        <v>1128</v>
      </c>
      <c r="K726" s="14" t="s">
        <v>20</v>
      </c>
      <c r="L726" s="14">
        <v>100</v>
      </c>
      <c r="M726" s="14">
        <v>100</v>
      </c>
      <c r="N726" s="42">
        <v>100</v>
      </c>
    </row>
    <row r="727" spans="1:14" ht="15.75" thickBot="1" x14ac:dyDescent="0.3">
      <c r="A727" s="65"/>
      <c r="B727" s="69"/>
      <c r="C727" s="70"/>
      <c r="D727" s="70"/>
      <c r="E727" s="71"/>
      <c r="F727" s="26">
        <v>0</v>
      </c>
      <c r="G727" s="26">
        <v>0</v>
      </c>
      <c r="H727" s="26">
        <v>0</v>
      </c>
      <c r="I727" s="26">
        <v>0</v>
      </c>
      <c r="J727" s="27" t="s">
        <v>1129</v>
      </c>
      <c r="K727" s="28" t="s">
        <v>24</v>
      </c>
      <c r="L727" s="28">
        <v>39</v>
      </c>
      <c r="M727" s="28">
        <v>39</v>
      </c>
      <c r="N727" s="45">
        <v>39</v>
      </c>
    </row>
    <row r="728" spans="1:14" ht="27" customHeight="1" thickBot="1" x14ac:dyDescent="0.3">
      <c r="A728" s="15" t="s">
        <v>1130</v>
      </c>
      <c r="B728" s="72" t="s">
        <v>1131</v>
      </c>
      <c r="C728" s="73"/>
      <c r="D728" s="73"/>
      <c r="E728" s="74"/>
      <c r="F728" s="16">
        <f>F729+F730+F734+F736+F738+F741+F744</f>
        <v>596.40000000000009</v>
      </c>
      <c r="G728" s="16">
        <f>G729+G730+G734+G736+G738+G741+G744</f>
        <v>656.2</v>
      </c>
      <c r="H728" s="16">
        <f>H729+H730+H734+H736+H738+H741+H744</f>
        <v>381.6</v>
      </c>
      <c r="I728" s="16">
        <f>I729+I730+I734+I736+I738+I741+I744</f>
        <v>381.6</v>
      </c>
      <c r="J728" s="61"/>
      <c r="K728" s="62"/>
      <c r="L728" s="62"/>
      <c r="M728" s="62"/>
      <c r="N728" s="63"/>
    </row>
    <row r="729" spans="1:14" ht="30.75" thickBot="1" x14ac:dyDescent="0.3">
      <c r="A729" s="23" t="s">
        <v>1132</v>
      </c>
      <c r="B729" s="24" t="s">
        <v>1133</v>
      </c>
      <c r="C729" s="17" t="s">
        <v>984</v>
      </c>
      <c r="D729" s="17" t="s">
        <v>30</v>
      </c>
      <c r="E729" s="17"/>
      <c r="F729" s="25">
        <v>43</v>
      </c>
      <c r="G729" s="25">
        <v>43</v>
      </c>
      <c r="H729" s="25">
        <v>43</v>
      </c>
      <c r="I729" s="25">
        <v>43</v>
      </c>
      <c r="J729" s="17" t="s">
        <v>1134</v>
      </c>
      <c r="K729" s="19" t="s">
        <v>255</v>
      </c>
      <c r="L729" s="19">
        <v>37</v>
      </c>
      <c r="M729" s="19">
        <v>37</v>
      </c>
      <c r="N729" s="43">
        <v>37</v>
      </c>
    </row>
    <row r="730" spans="1:14" ht="20.25" customHeight="1" x14ac:dyDescent="0.25">
      <c r="A730" s="55" t="s">
        <v>1135</v>
      </c>
      <c r="B730" s="58" t="s">
        <v>1136</v>
      </c>
      <c r="C730" s="58" t="s">
        <v>1137</v>
      </c>
      <c r="D730" s="17"/>
      <c r="E730" s="17"/>
      <c r="F730" s="18">
        <f>SUM(F731:F733)</f>
        <v>223.6</v>
      </c>
      <c r="G730" s="18">
        <f>SUM(G731:G733)</f>
        <v>144.9</v>
      </c>
      <c r="H730" s="18">
        <f>SUM(H731:H733)</f>
        <v>73.599999999999994</v>
      </c>
      <c r="I730" s="18">
        <f>SUM(I731:I733)</f>
        <v>73.599999999999994</v>
      </c>
      <c r="J730" s="17" t="s">
        <v>1138</v>
      </c>
      <c r="K730" s="19" t="s">
        <v>24</v>
      </c>
      <c r="L730" s="19">
        <v>10</v>
      </c>
      <c r="M730" s="19">
        <v>11</v>
      </c>
      <c r="N730" s="43">
        <v>12</v>
      </c>
    </row>
    <row r="731" spans="1:14" x14ac:dyDescent="0.25">
      <c r="A731" s="56"/>
      <c r="B731" s="59"/>
      <c r="C731" s="59"/>
      <c r="D731" s="20" t="s">
        <v>30</v>
      </c>
      <c r="E731" s="20"/>
      <c r="F731" s="21">
        <v>50</v>
      </c>
      <c r="G731" s="21">
        <v>50</v>
      </c>
      <c r="H731" s="21">
        <v>0</v>
      </c>
      <c r="I731" s="21">
        <v>0</v>
      </c>
      <c r="J731" s="20" t="s">
        <v>1139</v>
      </c>
      <c r="K731" s="22" t="s">
        <v>24</v>
      </c>
      <c r="L731" s="22">
        <v>2</v>
      </c>
      <c r="M731" s="22"/>
      <c r="N731" s="44"/>
    </row>
    <row r="732" spans="1:14" x14ac:dyDescent="0.25">
      <c r="A732" s="56"/>
      <c r="B732" s="59"/>
      <c r="C732" s="59"/>
      <c r="D732" s="20" t="s">
        <v>35</v>
      </c>
      <c r="E732" s="20"/>
      <c r="F732" s="21">
        <v>100</v>
      </c>
      <c r="G732" s="21">
        <v>20</v>
      </c>
      <c r="H732" s="21">
        <v>0</v>
      </c>
      <c r="I732" s="21">
        <v>0</v>
      </c>
      <c r="J732" s="20" t="s">
        <v>1140</v>
      </c>
      <c r="K732" s="22" t="s">
        <v>24</v>
      </c>
      <c r="L732" s="22">
        <v>2</v>
      </c>
      <c r="M732" s="22"/>
      <c r="N732" s="44"/>
    </row>
    <row r="733" spans="1:14" ht="15.75" thickBot="1" x14ac:dyDescent="0.3">
      <c r="A733" s="57"/>
      <c r="B733" s="60"/>
      <c r="C733" s="60"/>
      <c r="D733" s="20" t="s">
        <v>121</v>
      </c>
      <c r="E733" s="20"/>
      <c r="F733" s="21">
        <v>73.599999999999994</v>
      </c>
      <c r="G733" s="21">
        <v>74.900000000000006</v>
      </c>
      <c r="H733" s="21">
        <v>73.599999999999994</v>
      </c>
      <c r="I733" s="21">
        <v>73.599999999999994</v>
      </c>
      <c r="J733" s="20"/>
      <c r="K733" s="22"/>
      <c r="L733" s="22"/>
      <c r="M733" s="22"/>
      <c r="N733" s="44"/>
    </row>
    <row r="734" spans="1:14" ht="30.75" customHeight="1" x14ac:dyDescent="0.25">
      <c r="A734" s="55" t="s">
        <v>1141</v>
      </c>
      <c r="B734" s="58" t="s">
        <v>1142</v>
      </c>
      <c r="C734" s="58" t="s">
        <v>1143</v>
      </c>
      <c r="D734" s="17" t="s">
        <v>30</v>
      </c>
      <c r="E734" s="17"/>
      <c r="F734" s="18">
        <f>SUM(F735:F735)+35</f>
        <v>35</v>
      </c>
      <c r="G734" s="18">
        <f>SUM(G735:G735)+35</f>
        <v>35</v>
      </c>
      <c r="H734" s="18">
        <f>SUM(H735:H735)+35</f>
        <v>35</v>
      </c>
      <c r="I734" s="18">
        <f>SUM(I735:I735)+35</f>
        <v>35</v>
      </c>
      <c r="J734" s="17" t="s">
        <v>1138</v>
      </c>
      <c r="K734" s="19" t="s">
        <v>24</v>
      </c>
      <c r="L734" s="19">
        <v>11</v>
      </c>
      <c r="M734" s="19">
        <v>12</v>
      </c>
      <c r="N734" s="43">
        <v>12</v>
      </c>
    </row>
    <row r="735" spans="1:14" ht="15.75" thickBot="1" x14ac:dyDescent="0.3">
      <c r="A735" s="57"/>
      <c r="B735" s="60"/>
      <c r="C735" s="60"/>
      <c r="D735" s="20"/>
      <c r="E735" s="20"/>
      <c r="F735" s="21">
        <v>0</v>
      </c>
      <c r="G735" s="21">
        <v>0</v>
      </c>
      <c r="H735" s="21">
        <v>0</v>
      </c>
      <c r="I735" s="21">
        <v>0</v>
      </c>
      <c r="J735" s="20" t="s">
        <v>1144</v>
      </c>
      <c r="K735" s="22" t="s">
        <v>24</v>
      </c>
      <c r="L735" s="22">
        <v>1</v>
      </c>
      <c r="M735" s="22">
        <v>1</v>
      </c>
      <c r="N735" s="44">
        <v>1</v>
      </c>
    </row>
    <row r="736" spans="1:14" ht="27.75" customHeight="1" x14ac:dyDescent="0.25">
      <c r="A736" s="55" t="s">
        <v>1145</v>
      </c>
      <c r="B736" s="58" t="s">
        <v>1146</v>
      </c>
      <c r="C736" s="58" t="s">
        <v>134</v>
      </c>
      <c r="D736" s="17"/>
      <c r="E736" s="17"/>
      <c r="F736" s="18">
        <f>SUM(F737:F737)</f>
        <v>44.8</v>
      </c>
      <c r="G736" s="18">
        <f>SUM(G737:G737)</f>
        <v>32</v>
      </c>
      <c r="H736" s="18">
        <f>SUM(H737:H737)</f>
        <v>0</v>
      </c>
      <c r="I736" s="18">
        <f>SUM(I737:I737)</f>
        <v>0</v>
      </c>
      <c r="J736" s="17" t="s">
        <v>1147</v>
      </c>
      <c r="K736" s="19" t="s">
        <v>24</v>
      </c>
      <c r="L736" s="19">
        <v>11</v>
      </c>
      <c r="M736" s="19"/>
      <c r="N736" s="43"/>
    </row>
    <row r="737" spans="1:14" ht="15.75" thickBot="1" x14ac:dyDescent="0.3">
      <c r="A737" s="57"/>
      <c r="B737" s="60"/>
      <c r="C737" s="60"/>
      <c r="D737" s="20" t="s">
        <v>35</v>
      </c>
      <c r="E737" s="20"/>
      <c r="F737" s="21">
        <v>44.8</v>
      </c>
      <c r="G737" s="21">
        <v>32</v>
      </c>
      <c r="H737" s="21">
        <v>0</v>
      </c>
      <c r="I737" s="21">
        <v>0</v>
      </c>
      <c r="J737" s="20"/>
      <c r="K737" s="22"/>
      <c r="L737" s="22"/>
      <c r="M737" s="22"/>
      <c r="N737" s="44"/>
    </row>
    <row r="738" spans="1:14" ht="28.5" customHeight="1" x14ac:dyDescent="0.25">
      <c r="A738" s="55" t="s">
        <v>1148</v>
      </c>
      <c r="B738" s="58" t="s">
        <v>1149</v>
      </c>
      <c r="C738" s="58" t="s">
        <v>1150</v>
      </c>
      <c r="D738" s="17"/>
      <c r="E738" s="17"/>
      <c r="F738" s="18">
        <f>SUM(F739:F740)</f>
        <v>220</v>
      </c>
      <c r="G738" s="18">
        <f>SUM(G739:G740)</f>
        <v>220</v>
      </c>
      <c r="H738" s="18">
        <f>SUM(H739:H740)</f>
        <v>200</v>
      </c>
      <c r="I738" s="18">
        <f>SUM(I739:I740)</f>
        <v>200</v>
      </c>
      <c r="J738" s="17" t="s">
        <v>1151</v>
      </c>
      <c r="K738" s="19" t="s">
        <v>24</v>
      </c>
      <c r="L738" s="19">
        <v>3</v>
      </c>
      <c r="M738" s="19">
        <v>2</v>
      </c>
      <c r="N738" s="43">
        <v>2</v>
      </c>
    </row>
    <row r="739" spans="1:14" x14ac:dyDescent="0.25">
      <c r="A739" s="56"/>
      <c r="B739" s="59"/>
      <c r="C739" s="59"/>
      <c r="D739" s="20" t="s">
        <v>35</v>
      </c>
      <c r="E739" s="20"/>
      <c r="F739" s="21">
        <v>20</v>
      </c>
      <c r="G739" s="21">
        <v>20</v>
      </c>
      <c r="H739" s="21">
        <v>0</v>
      </c>
      <c r="I739" s="21">
        <v>0</v>
      </c>
      <c r="J739" s="20"/>
      <c r="K739" s="22"/>
      <c r="L739" s="22"/>
      <c r="M739" s="22"/>
      <c r="N739" s="44"/>
    </row>
    <row r="740" spans="1:14" ht="15.75" thickBot="1" x14ac:dyDescent="0.3">
      <c r="A740" s="57"/>
      <c r="B740" s="60"/>
      <c r="C740" s="60"/>
      <c r="D740" s="20" t="s">
        <v>30</v>
      </c>
      <c r="E740" s="20"/>
      <c r="F740" s="21">
        <v>200</v>
      </c>
      <c r="G740" s="21">
        <v>200</v>
      </c>
      <c r="H740" s="21">
        <v>200</v>
      </c>
      <c r="I740" s="21">
        <v>200</v>
      </c>
      <c r="J740" s="20"/>
      <c r="K740" s="22"/>
      <c r="L740" s="22"/>
      <c r="M740" s="22"/>
      <c r="N740" s="44"/>
    </row>
    <row r="741" spans="1:14" x14ac:dyDescent="0.25">
      <c r="A741" s="55" t="s">
        <v>1152</v>
      </c>
      <c r="B741" s="58" t="s">
        <v>1053</v>
      </c>
      <c r="C741" s="58" t="s">
        <v>1054</v>
      </c>
      <c r="D741" s="17" t="s">
        <v>30</v>
      </c>
      <c r="E741" s="17"/>
      <c r="F741" s="18">
        <f>SUM(F742:F743)+25</f>
        <v>25</v>
      </c>
      <c r="G741" s="18">
        <f>SUM(G742:G743)+25</f>
        <v>25</v>
      </c>
      <c r="H741" s="18">
        <f>SUM(H742:H743)+25</f>
        <v>25</v>
      </c>
      <c r="I741" s="18">
        <f>SUM(I742:I743)+25</f>
        <v>25</v>
      </c>
      <c r="J741" s="17" t="s">
        <v>1138</v>
      </c>
      <c r="K741" s="19" t="s">
        <v>24</v>
      </c>
      <c r="L741" s="19">
        <v>5</v>
      </c>
      <c r="M741" s="19">
        <v>5</v>
      </c>
      <c r="N741" s="43">
        <v>5</v>
      </c>
    </row>
    <row r="742" spans="1:14" x14ac:dyDescent="0.25">
      <c r="A742" s="56"/>
      <c r="B742" s="59"/>
      <c r="C742" s="59"/>
      <c r="D742" s="20"/>
      <c r="E742" s="20"/>
      <c r="F742" s="21">
        <v>0</v>
      </c>
      <c r="G742" s="21">
        <v>0</v>
      </c>
      <c r="H742" s="21">
        <v>0</v>
      </c>
      <c r="I742" s="21">
        <v>0</v>
      </c>
      <c r="J742" s="20" t="s">
        <v>1153</v>
      </c>
      <c r="K742" s="22" t="s">
        <v>255</v>
      </c>
      <c r="L742" s="46">
        <v>1000</v>
      </c>
      <c r="M742" s="46">
        <v>1000</v>
      </c>
      <c r="N742" s="47">
        <v>1000</v>
      </c>
    </row>
    <row r="743" spans="1:14" ht="30.75" thickBot="1" x14ac:dyDescent="0.3">
      <c r="A743" s="57"/>
      <c r="B743" s="60"/>
      <c r="C743" s="60"/>
      <c r="D743" s="20"/>
      <c r="E743" s="20"/>
      <c r="F743" s="21">
        <v>0</v>
      </c>
      <c r="G743" s="21">
        <v>0</v>
      </c>
      <c r="H743" s="21">
        <v>0</v>
      </c>
      <c r="I743" s="21">
        <v>0</v>
      </c>
      <c r="J743" s="20" t="s">
        <v>1154</v>
      </c>
      <c r="K743" s="22" t="s">
        <v>20</v>
      </c>
      <c r="L743" s="22">
        <v>0.6</v>
      </c>
      <c r="M743" s="22">
        <v>0.6</v>
      </c>
      <c r="N743" s="44">
        <v>0.6</v>
      </c>
    </row>
    <row r="744" spans="1:14" ht="18.75" customHeight="1" x14ac:dyDescent="0.25">
      <c r="A744" s="55" t="s">
        <v>1155</v>
      </c>
      <c r="B744" s="58" t="s">
        <v>1156</v>
      </c>
      <c r="C744" s="58" t="s">
        <v>920</v>
      </c>
      <c r="D744" s="17"/>
      <c r="E744" s="17"/>
      <c r="F744" s="18">
        <f>SUM(F745:F757)</f>
        <v>5</v>
      </c>
      <c r="G744" s="18">
        <f>SUM(G745:G757)</f>
        <v>156.30000000000001</v>
      </c>
      <c r="H744" s="18">
        <f>SUM(H745:H757)</f>
        <v>5</v>
      </c>
      <c r="I744" s="18">
        <f>SUM(I745:I757)</f>
        <v>5</v>
      </c>
      <c r="J744" s="17" t="s">
        <v>1157</v>
      </c>
      <c r="K744" s="19" t="s">
        <v>24</v>
      </c>
      <c r="L744" s="50">
        <v>5000</v>
      </c>
      <c r="M744" s="19"/>
      <c r="N744" s="43"/>
    </row>
    <row r="745" spans="1:14" ht="30" x14ac:dyDescent="0.25">
      <c r="A745" s="56"/>
      <c r="B745" s="59"/>
      <c r="C745" s="59"/>
      <c r="D745" s="20"/>
      <c r="E745" s="20"/>
      <c r="F745" s="21">
        <v>0</v>
      </c>
      <c r="G745" s="21">
        <v>0</v>
      </c>
      <c r="H745" s="21">
        <v>0</v>
      </c>
      <c r="I745" s="21">
        <v>0</v>
      </c>
      <c r="J745" s="20" t="s">
        <v>1158</v>
      </c>
      <c r="K745" s="22" t="s">
        <v>20</v>
      </c>
      <c r="L745" s="22">
        <v>50</v>
      </c>
      <c r="M745" s="22">
        <v>70</v>
      </c>
      <c r="N745" s="44">
        <v>100</v>
      </c>
    </row>
    <row r="746" spans="1:14" ht="45" x14ac:dyDescent="0.25">
      <c r="A746" s="56"/>
      <c r="B746" s="59"/>
      <c r="C746" s="59"/>
      <c r="D746" s="20"/>
      <c r="E746" s="20"/>
      <c r="F746" s="21">
        <v>0</v>
      </c>
      <c r="G746" s="21">
        <v>0</v>
      </c>
      <c r="H746" s="21">
        <v>0</v>
      </c>
      <c r="I746" s="21">
        <v>0</v>
      </c>
      <c r="J746" s="20" t="s">
        <v>1159</v>
      </c>
      <c r="K746" s="22" t="s">
        <v>255</v>
      </c>
      <c r="L746" s="22">
        <v>60</v>
      </c>
      <c r="M746" s="22">
        <v>60</v>
      </c>
      <c r="N746" s="44">
        <v>60</v>
      </c>
    </row>
    <row r="747" spans="1:14" ht="30" x14ac:dyDescent="0.25">
      <c r="A747" s="56"/>
      <c r="B747" s="59"/>
      <c r="C747" s="59"/>
      <c r="D747" s="20"/>
      <c r="E747" s="20"/>
      <c r="F747" s="21">
        <v>0</v>
      </c>
      <c r="G747" s="21">
        <v>0</v>
      </c>
      <c r="H747" s="21">
        <v>0</v>
      </c>
      <c r="I747" s="21">
        <v>0</v>
      </c>
      <c r="J747" s="20" t="s">
        <v>1160</v>
      </c>
      <c r="K747" s="22" t="s">
        <v>255</v>
      </c>
      <c r="L747" s="22">
        <v>2</v>
      </c>
      <c r="M747" s="22"/>
      <c r="N747" s="44"/>
    </row>
    <row r="748" spans="1:14" ht="45" customHeight="1" x14ac:dyDescent="0.25">
      <c r="A748" s="56"/>
      <c r="B748" s="59"/>
      <c r="C748" s="59"/>
      <c r="D748" s="20"/>
      <c r="E748" s="20"/>
      <c r="F748" s="21">
        <v>0</v>
      </c>
      <c r="G748" s="21">
        <v>0</v>
      </c>
      <c r="H748" s="21">
        <v>0</v>
      </c>
      <c r="I748" s="21">
        <v>0</v>
      </c>
      <c r="J748" s="20" t="s">
        <v>1161</v>
      </c>
      <c r="K748" s="22" t="s">
        <v>393</v>
      </c>
      <c r="L748" s="22">
        <v>75</v>
      </c>
      <c r="M748" s="22"/>
      <c r="N748" s="44"/>
    </row>
    <row r="749" spans="1:14" ht="30" x14ac:dyDescent="0.25">
      <c r="A749" s="56"/>
      <c r="B749" s="59"/>
      <c r="C749" s="59"/>
      <c r="D749" s="20"/>
      <c r="E749" s="20"/>
      <c r="F749" s="21">
        <v>0</v>
      </c>
      <c r="G749" s="21">
        <v>0</v>
      </c>
      <c r="H749" s="21">
        <v>0</v>
      </c>
      <c r="I749" s="21">
        <v>0</v>
      </c>
      <c r="J749" s="20" t="s">
        <v>1162</v>
      </c>
      <c r="K749" s="22" t="s">
        <v>24</v>
      </c>
      <c r="L749" s="22">
        <v>180</v>
      </c>
      <c r="M749" s="22"/>
      <c r="N749" s="44"/>
    </row>
    <row r="750" spans="1:14" ht="30" x14ac:dyDescent="0.25">
      <c r="A750" s="56"/>
      <c r="B750" s="59"/>
      <c r="C750" s="59"/>
      <c r="D750" s="20"/>
      <c r="E750" s="20"/>
      <c r="F750" s="21">
        <v>0</v>
      </c>
      <c r="G750" s="21">
        <v>0</v>
      </c>
      <c r="H750" s="21">
        <v>0</v>
      </c>
      <c r="I750" s="21">
        <v>0</v>
      </c>
      <c r="J750" s="20" t="s">
        <v>1163</v>
      </c>
      <c r="K750" s="22" t="s">
        <v>24</v>
      </c>
      <c r="L750" s="22">
        <v>30</v>
      </c>
      <c r="M750" s="22"/>
      <c r="N750" s="44"/>
    </row>
    <row r="751" spans="1:14" ht="45" x14ac:dyDescent="0.25">
      <c r="A751" s="56"/>
      <c r="B751" s="59"/>
      <c r="C751" s="59"/>
      <c r="D751" s="20"/>
      <c r="E751" s="20"/>
      <c r="F751" s="21">
        <v>0</v>
      </c>
      <c r="G751" s="21">
        <v>0</v>
      </c>
      <c r="H751" s="21">
        <v>0</v>
      </c>
      <c r="I751" s="21">
        <v>0</v>
      </c>
      <c r="J751" s="20" t="s">
        <v>1164</v>
      </c>
      <c r="K751" s="22" t="s">
        <v>1165</v>
      </c>
      <c r="L751" s="22">
        <v>36</v>
      </c>
      <c r="M751" s="22"/>
      <c r="N751" s="44"/>
    </row>
    <row r="752" spans="1:14" ht="30" x14ac:dyDescent="0.25">
      <c r="A752" s="56"/>
      <c r="B752" s="59"/>
      <c r="C752" s="59"/>
      <c r="D752" s="20"/>
      <c r="E752" s="20"/>
      <c r="F752" s="21">
        <v>0</v>
      </c>
      <c r="G752" s="21">
        <v>0</v>
      </c>
      <c r="H752" s="21">
        <v>0</v>
      </c>
      <c r="I752" s="21">
        <v>0</v>
      </c>
      <c r="J752" s="20" t="s">
        <v>1166</v>
      </c>
      <c r="K752" s="22" t="s">
        <v>1165</v>
      </c>
      <c r="L752" s="22">
        <v>100</v>
      </c>
      <c r="M752" s="22"/>
      <c r="N752" s="44"/>
    </row>
    <row r="753" spans="1:14" ht="30" x14ac:dyDescent="0.25">
      <c r="A753" s="56"/>
      <c r="B753" s="59"/>
      <c r="C753" s="59"/>
      <c r="D753" s="20"/>
      <c r="E753" s="20"/>
      <c r="F753" s="21">
        <v>0</v>
      </c>
      <c r="G753" s="21">
        <v>0</v>
      </c>
      <c r="H753" s="21">
        <v>0</v>
      </c>
      <c r="I753" s="21">
        <v>0</v>
      </c>
      <c r="J753" s="20" t="s">
        <v>1167</v>
      </c>
      <c r="K753" s="22" t="s">
        <v>1165</v>
      </c>
      <c r="L753" s="46">
        <v>1000</v>
      </c>
      <c r="M753" s="22"/>
      <c r="N753" s="44"/>
    </row>
    <row r="754" spans="1:14" ht="45" x14ac:dyDescent="0.25">
      <c r="A754" s="56"/>
      <c r="B754" s="59"/>
      <c r="C754" s="59"/>
      <c r="D754" s="20"/>
      <c r="E754" s="20"/>
      <c r="F754" s="21">
        <v>0</v>
      </c>
      <c r="G754" s="21">
        <v>0</v>
      </c>
      <c r="H754" s="21">
        <v>0</v>
      </c>
      <c r="I754" s="21">
        <v>0</v>
      </c>
      <c r="J754" s="20" t="s">
        <v>1168</v>
      </c>
      <c r="K754" s="22" t="s">
        <v>20</v>
      </c>
      <c r="L754" s="22">
        <v>70</v>
      </c>
      <c r="M754" s="22"/>
      <c r="N754" s="44"/>
    </row>
    <row r="755" spans="1:14" x14ac:dyDescent="0.25">
      <c r="A755" s="56"/>
      <c r="B755" s="59"/>
      <c r="C755" s="59"/>
      <c r="D755" s="20"/>
      <c r="E755" s="20"/>
      <c r="F755" s="21">
        <v>0</v>
      </c>
      <c r="G755" s="21">
        <v>0</v>
      </c>
      <c r="H755" s="21">
        <v>0</v>
      </c>
      <c r="I755" s="21">
        <v>0</v>
      </c>
      <c r="J755" s="20" t="s">
        <v>1169</v>
      </c>
      <c r="K755" s="22" t="s">
        <v>24</v>
      </c>
      <c r="L755" s="22"/>
      <c r="M755" s="22">
        <v>1</v>
      </c>
      <c r="N755" s="44"/>
    </row>
    <row r="756" spans="1:14" x14ac:dyDescent="0.25">
      <c r="A756" s="56"/>
      <c r="B756" s="59"/>
      <c r="C756" s="59"/>
      <c r="D756" s="20" t="s">
        <v>121</v>
      </c>
      <c r="E756" s="20"/>
      <c r="F756" s="21">
        <v>0</v>
      </c>
      <c r="G756" s="21">
        <v>151.30000000000001</v>
      </c>
      <c r="H756" s="21">
        <v>0</v>
      </c>
      <c r="I756" s="21">
        <v>0</v>
      </c>
      <c r="J756" s="20"/>
      <c r="K756" s="22"/>
      <c r="L756" s="22"/>
      <c r="M756" s="22"/>
      <c r="N756" s="44"/>
    </row>
    <row r="757" spans="1:14" ht="15.75" thickBot="1" x14ac:dyDescent="0.3">
      <c r="A757" s="57"/>
      <c r="B757" s="60"/>
      <c r="C757" s="60"/>
      <c r="D757" s="29" t="s">
        <v>30</v>
      </c>
      <c r="E757" s="29"/>
      <c r="F757" s="30">
        <v>5</v>
      </c>
      <c r="G757" s="30">
        <v>5</v>
      </c>
      <c r="H757" s="30">
        <v>5</v>
      </c>
      <c r="I757" s="30">
        <v>5</v>
      </c>
      <c r="J757" s="29"/>
      <c r="K757" s="31"/>
      <c r="L757" s="31"/>
      <c r="M757" s="31"/>
      <c r="N757" s="54"/>
    </row>
    <row r="758" spans="1:14" s="5" customFormat="1" x14ac:dyDescent="0.25">
      <c r="A758" s="32"/>
      <c r="B758" s="32"/>
      <c r="C758" s="33"/>
      <c r="D758" s="33"/>
      <c r="E758" s="33"/>
      <c r="F758" s="34"/>
      <c r="G758" s="34"/>
      <c r="H758" s="34"/>
      <c r="I758" s="34"/>
      <c r="J758" s="33"/>
      <c r="K758" s="35"/>
      <c r="L758" s="35"/>
      <c r="M758" s="35"/>
      <c r="N758" s="35"/>
    </row>
    <row r="759" spans="1:14" s="5" customFormat="1" x14ac:dyDescent="0.25">
      <c r="A759" s="32"/>
      <c r="B759" s="32"/>
      <c r="C759" s="33"/>
      <c r="D759" s="33"/>
      <c r="E759" s="33"/>
      <c r="F759" s="34"/>
      <c r="G759" s="34"/>
      <c r="H759" s="34"/>
      <c r="I759" s="34"/>
      <c r="J759" s="33"/>
      <c r="K759" s="35"/>
      <c r="L759" s="35"/>
      <c r="M759" s="35"/>
      <c r="N759" s="35"/>
    </row>
    <row r="760" spans="1:14" s="5" customFormat="1" x14ac:dyDescent="0.25">
      <c r="A760" s="32"/>
      <c r="B760" s="32"/>
      <c r="C760" s="33"/>
      <c r="D760" s="33"/>
      <c r="E760" s="33"/>
      <c r="F760" s="34"/>
      <c r="G760" s="34"/>
      <c r="H760" s="34"/>
      <c r="I760" s="34"/>
      <c r="J760" s="33"/>
      <c r="K760" s="35"/>
      <c r="L760" s="35"/>
      <c r="M760" s="35"/>
      <c r="N760" s="35"/>
    </row>
    <row r="761" spans="1:14" s="5" customFormat="1" x14ac:dyDescent="0.25">
      <c r="A761" s="32"/>
      <c r="B761" s="32"/>
      <c r="C761" s="33"/>
      <c r="D761" s="33"/>
      <c r="E761" s="33"/>
      <c r="F761" s="34"/>
      <c r="G761" s="34"/>
      <c r="H761" s="34"/>
      <c r="I761" s="34"/>
      <c r="J761" s="33"/>
      <c r="K761" s="35"/>
      <c r="L761" s="35"/>
      <c r="M761" s="35"/>
      <c r="N761" s="35"/>
    </row>
    <row r="762" spans="1:14" s="5" customFormat="1" x14ac:dyDescent="0.25">
      <c r="A762" s="32"/>
      <c r="B762" s="32"/>
      <c r="C762" s="33"/>
      <c r="D762" s="33"/>
      <c r="E762" s="33"/>
      <c r="F762" s="34"/>
      <c r="G762" s="34"/>
      <c r="H762" s="34"/>
      <c r="I762" s="34"/>
      <c r="J762" s="33"/>
      <c r="K762" s="35"/>
      <c r="L762" s="35"/>
      <c r="M762" s="35"/>
      <c r="N762" s="35"/>
    </row>
    <row r="763" spans="1:14" ht="57.75" x14ac:dyDescent="0.25">
      <c r="A763" s="36" t="s">
        <v>1</v>
      </c>
      <c r="B763" s="36" t="s">
        <v>2</v>
      </c>
      <c r="C763" s="36" t="s">
        <v>6</v>
      </c>
      <c r="D763" s="36" t="s">
        <v>7</v>
      </c>
      <c r="E763" s="36" t="s">
        <v>8</v>
      </c>
      <c r="F763" s="36" t="s">
        <v>9</v>
      </c>
    </row>
    <row r="764" spans="1:14" ht="42.75" x14ac:dyDescent="0.25">
      <c r="A764" s="103" t="s">
        <v>1170</v>
      </c>
      <c r="B764" s="103" t="s">
        <v>1171</v>
      </c>
      <c r="C764" s="104">
        <f>SUM(C765:C776)</f>
        <v>223152.4</v>
      </c>
      <c r="D764" s="104">
        <f>SUM(D765:D776)</f>
        <v>253439.4</v>
      </c>
      <c r="E764" s="104">
        <f>SUM(E765:E776)</f>
        <v>210008.2</v>
      </c>
      <c r="F764" s="104">
        <f>SUM(F765:F776)</f>
        <v>209762.69999999998</v>
      </c>
    </row>
    <row r="765" spans="1:14" x14ac:dyDescent="0.25">
      <c r="A765" s="37" t="s">
        <v>30</v>
      </c>
      <c r="B765" s="37" t="s">
        <v>1172</v>
      </c>
      <c r="C765" s="21">
        <v>102904.4</v>
      </c>
      <c r="D765" s="21">
        <v>106723.9</v>
      </c>
      <c r="E765" s="21">
        <v>122676.3</v>
      </c>
      <c r="F765" s="21">
        <v>121722.5</v>
      </c>
    </row>
    <row r="766" spans="1:14" x14ac:dyDescent="0.25">
      <c r="A766" s="37" t="s">
        <v>144</v>
      </c>
      <c r="B766" s="37" t="s">
        <v>1173</v>
      </c>
      <c r="C766" s="21">
        <v>4626.5</v>
      </c>
      <c r="D766" s="21">
        <v>11700.6</v>
      </c>
      <c r="E766" s="21">
        <v>0</v>
      </c>
      <c r="F766" s="21">
        <v>0</v>
      </c>
    </row>
    <row r="767" spans="1:14" ht="30" x14ac:dyDescent="0.25">
      <c r="A767" s="37" t="s">
        <v>641</v>
      </c>
      <c r="B767" s="37" t="s">
        <v>1174</v>
      </c>
      <c r="C767" s="21">
        <v>49909.5</v>
      </c>
      <c r="D767" s="21">
        <v>50669.9</v>
      </c>
      <c r="E767" s="21">
        <v>49909.5</v>
      </c>
      <c r="F767" s="21">
        <v>49909.5</v>
      </c>
    </row>
    <row r="768" spans="1:14" ht="30" x14ac:dyDescent="0.25">
      <c r="A768" s="37" t="s">
        <v>491</v>
      </c>
      <c r="B768" s="37" t="s">
        <v>1175</v>
      </c>
      <c r="C768" s="21">
        <v>6791.3</v>
      </c>
      <c r="D768" s="21">
        <v>9050</v>
      </c>
      <c r="E768" s="21">
        <v>6959.4</v>
      </c>
      <c r="F768" s="21">
        <v>6959.4</v>
      </c>
    </row>
    <row r="769" spans="1:6" x14ac:dyDescent="0.25">
      <c r="A769" s="37" t="s">
        <v>121</v>
      </c>
      <c r="B769" s="37" t="s">
        <v>1176</v>
      </c>
      <c r="C769" s="21">
        <v>11540</v>
      </c>
      <c r="D769" s="21">
        <v>25348.1</v>
      </c>
      <c r="E769" s="21">
        <v>8913</v>
      </c>
      <c r="F769" s="21">
        <v>9046.5</v>
      </c>
    </row>
    <row r="770" spans="1:6" ht="30" x14ac:dyDescent="0.25">
      <c r="A770" s="37" t="s">
        <v>289</v>
      </c>
      <c r="B770" s="37" t="s">
        <v>1177</v>
      </c>
      <c r="C770" s="21">
        <v>5000</v>
      </c>
      <c r="D770" s="21">
        <v>7259.3</v>
      </c>
      <c r="E770" s="21">
        <v>5000</v>
      </c>
      <c r="F770" s="21">
        <v>5000</v>
      </c>
    </row>
    <row r="771" spans="1:6" ht="30" x14ac:dyDescent="0.25">
      <c r="A771" s="37" t="s">
        <v>551</v>
      </c>
      <c r="B771" s="37" t="s">
        <v>1178</v>
      </c>
      <c r="C771" s="21">
        <v>2275.1999999999998</v>
      </c>
      <c r="D771" s="21">
        <v>980</v>
      </c>
      <c r="E771" s="21">
        <v>1280.2</v>
      </c>
      <c r="F771" s="21">
        <v>0</v>
      </c>
    </row>
    <row r="772" spans="1:6" x14ac:dyDescent="0.25">
      <c r="A772" s="37" t="s">
        <v>136</v>
      </c>
      <c r="B772" s="37" t="s">
        <v>1179</v>
      </c>
      <c r="C772" s="21">
        <v>10988.8</v>
      </c>
      <c r="D772" s="21">
        <v>11591</v>
      </c>
      <c r="E772" s="21">
        <v>8713.7000000000007</v>
      </c>
      <c r="F772" s="21">
        <v>10480.799999999999</v>
      </c>
    </row>
    <row r="773" spans="1:6" x14ac:dyDescent="0.25">
      <c r="A773" s="37" t="s">
        <v>128</v>
      </c>
      <c r="B773" s="37" t="s">
        <v>1180</v>
      </c>
      <c r="C773" s="21">
        <v>6032.7</v>
      </c>
      <c r="D773" s="21">
        <v>7032.6</v>
      </c>
      <c r="E773" s="21">
        <v>6156.1</v>
      </c>
      <c r="F773" s="21">
        <v>6244</v>
      </c>
    </row>
    <row r="774" spans="1:6" ht="30" x14ac:dyDescent="0.25">
      <c r="A774" s="37" t="s">
        <v>35</v>
      </c>
      <c r="B774" s="37" t="s">
        <v>1181</v>
      </c>
      <c r="C774" s="21">
        <v>22251.4</v>
      </c>
      <c r="D774" s="21">
        <v>22251.4</v>
      </c>
      <c r="E774" s="21">
        <v>0</v>
      </c>
      <c r="F774" s="21">
        <v>0</v>
      </c>
    </row>
    <row r="775" spans="1:6" ht="45" x14ac:dyDescent="0.25">
      <c r="A775" s="37" t="s">
        <v>200</v>
      </c>
      <c r="B775" s="37" t="s">
        <v>1182</v>
      </c>
      <c r="C775" s="21">
        <v>400</v>
      </c>
      <c r="D775" s="21">
        <v>400</v>
      </c>
      <c r="E775" s="21">
        <v>400</v>
      </c>
      <c r="F775" s="21">
        <v>400</v>
      </c>
    </row>
    <row r="776" spans="1:6" ht="45" x14ac:dyDescent="0.25">
      <c r="A776" s="37" t="s">
        <v>225</v>
      </c>
      <c r="B776" s="37" t="s">
        <v>1183</v>
      </c>
      <c r="C776" s="21">
        <v>432.6</v>
      </c>
      <c r="D776" s="21">
        <v>432.6</v>
      </c>
      <c r="E776" s="21">
        <v>0</v>
      </c>
      <c r="F776" s="21">
        <v>0</v>
      </c>
    </row>
    <row r="777" spans="1:6" ht="36.75" customHeight="1" x14ac:dyDescent="0.25">
      <c r="A777" s="103" t="s">
        <v>1184</v>
      </c>
      <c r="B777" s="103" t="s">
        <v>1185</v>
      </c>
      <c r="C777" s="104">
        <f>SUM(C778:C780)</f>
        <v>36668.100000000006</v>
      </c>
      <c r="D777" s="104">
        <f>SUM(D778:D780)</f>
        <v>40582</v>
      </c>
      <c r="E777" s="104">
        <f>SUM(E778:E780)</f>
        <v>36737.500000000007</v>
      </c>
      <c r="F777" s="104">
        <f>SUM(F778:F780)</f>
        <v>35191.1</v>
      </c>
    </row>
    <row r="778" spans="1:6" ht="30" x14ac:dyDescent="0.25">
      <c r="A778" s="37" t="s">
        <v>125</v>
      </c>
      <c r="B778" s="37" t="s">
        <v>1186</v>
      </c>
      <c r="C778" s="21">
        <v>33241.9</v>
      </c>
      <c r="D778" s="21">
        <v>35879.199999999997</v>
      </c>
      <c r="E778" s="21">
        <v>34630.800000000003</v>
      </c>
      <c r="F778" s="21">
        <v>33221.199999999997</v>
      </c>
    </row>
    <row r="779" spans="1:6" x14ac:dyDescent="0.25">
      <c r="A779" s="37" t="s">
        <v>119</v>
      </c>
      <c r="B779" s="37" t="s">
        <v>1187</v>
      </c>
      <c r="C779" s="21">
        <v>1778.3</v>
      </c>
      <c r="D779" s="21">
        <v>2779</v>
      </c>
      <c r="E779" s="21">
        <v>643.79999999999995</v>
      </c>
      <c r="F779" s="21">
        <v>523.79999999999995</v>
      </c>
    </row>
    <row r="780" spans="1:6" x14ac:dyDescent="0.25">
      <c r="A780" s="37" t="s">
        <v>123</v>
      </c>
      <c r="B780" s="37" t="s">
        <v>1188</v>
      </c>
      <c r="C780" s="21">
        <v>1647.9</v>
      </c>
      <c r="D780" s="21">
        <v>1923.8</v>
      </c>
      <c r="E780" s="21">
        <v>1462.9</v>
      </c>
      <c r="F780" s="21">
        <v>1446.1</v>
      </c>
    </row>
    <row r="781" spans="1:6" ht="42.75" x14ac:dyDescent="0.25">
      <c r="A781" s="38"/>
      <c r="B781" s="39" t="s">
        <v>1196</v>
      </c>
      <c r="C781" s="40">
        <f>C764+C777</f>
        <v>259820.5</v>
      </c>
      <c r="D781" s="40">
        <f>D764+D777</f>
        <v>294021.40000000002</v>
      </c>
      <c r="E781" s="40">
        <f>E764+E777</f>
        <v>246745.7</v>
      </c>
      <c r="F781" s="40">
        <f>F764+F777</f>
        <v>244953.8</v>
      </c>
    </row>
  </sheetData>
  <mergeCells count="606">
    <mergeCell ref="B679:E679"/>
    <mergeCell ref="J679:N679"/>
    <mergeCell ref="A696:A698"/>
    <mergeCell ref="B696:B698"/>
    <mergeCell ref="A672:A674"/>
    <mergeCell ref="B672:B674"/>
    <mergeCell ref="C672:C674"/>
    <mergeCell ref="A675:A678"/>
    <mergeCell ref="B675:B678"/>
    <mergeCell ref="C675:C678"/>
    <mergeCell ref="C696:C698"/>
    <mergeCell ref="A666:A669"/>
    <mergeCell ref="B666:B669"/>
    <mergeCell ref="C666:C669"/>
    <mergeCell ref="A670:A671"/>
    <mergeCell ref="B670:B671"/>
    <mergeCell ref="C670:C671"/>
    <mergeCell ref="A651:A661"/>
    <mergeCell ref="B651:B661"/>
    <mergeCell ref="C651:C661"/>
    <mergeCell ref="A662:A664"/>
    <mergeCell ref="B662:B664"/>
    <mergeCell ref="C662:C664"/>
    <mergeCell ref="C646:E646"/>
    <mergeCell ref="J646:N646"/>
    <mergeCell ref="A647:A649"/>
    <mergeCell ref="B647:E649"/>
    <mergeCell ref="B650:E650"/>
    <mergeCell ref="J650:N650"/>
    <mergeCell ref="A639:A641"/>
    <mergeCell ref="B639:B641"/>
    <mergeCell ref="C639:C641"/>
    <mergeCell ref="A642:A645"/>
    <mergeCell ref="B642:B645"/>
    <mergeCell ref="C642:C645"/>
    <mergeCell ref="A634:A635"/>
    <mergeCell ref="B634:B635"/>
    <mergeCell ref="C634:C635"/>
    <mergeCell ref="A636:A638"/>
    <mergeCell ref="B636:B638"/>
    <mergeCell ref="C636:C638"/>
    <mergeCell ref="A629:A630"/>
    <mergeCell ref="B629:B630"/>
    <mergeCell ref="C629:C630"/>
    <mergeCell ref="A631:A632"/>
    <mergeCell ref="B631:B632"/>
    <mergeCell ref="C631:C632"/>
    <mergeCell ref="B623:E623"/>
    <mergeCell ref="J623:N623"/>
    <mergeCell ref="A624:A628"/>
    <mergeCell ref="B624:B628"/>
    <mergeCell ref="C624:C628"/>
    <mergeCell ref="A617:A619"/>
    <mergeCell ref="B617:B619"/>
    <mergeCell ref="C617:C619"/>
    <mergeCell ref="A620:A622"/>
    <mergeCell ref="B620:B622"/>
    <mergeCell ref="C620:C622"/>
    <mergeCell ref="A607:A610"/>
    <mergeCell ref="B607:B610"/>
    <mergeCell ref="C607:C610"/>
    <mergeCell ref="A612:A616"/>
    <mergeCell ref="B612:B616"/>
    <mergeCell ref="C612:C616"/>
    <mergeCell ref="A601:A604"/>
    <mergeCell ref="B601:B604"/>
    <mergeCell ref="C601:C604"/>
    <mergeCell ref="B605:E605"/>
    <mergeCell ref="J605:N605"/>
    <mergeCell ref="A594:A597"/>
    <mergeCell ref="B594:B597"/>
    <mergeCell ref="C594:C597"/>
    <mergeCell ref="A598:A600"/>
    <mergeCell ref="B598:B600"/>
    <mergeCell ref="C598:C600"/>
    <mergeCell ref="A589:A591"/>
    <mergeCell ref="B589:B591"/>
    <mergeCell ref="C589:C591"/>
    <mergeCell ref="A592:A593"/>
    <mergeCell ref="B592:B593"/>
    <mergeCell ref="C592:C593"/>
    <mergeCell ref="A583:A585"/>
    <mergeCell ref="B583:B585"/>
    <mergeCell ref="C583:C585"/>
    <mergeCell ref="A586:A588"/>
    <mergeCell ref="B586:B588"/>
    <mergeCell ref="C586:C588"/>
    <mergeCell ref="A569:A573"/>
    <mergeCell ref="B569:B573"/>
    <mergeCell ref="C569:C573"/>
    <mergeCell ref="A574:A582"/>
    <mergeCell ref="B574:B582"/>
    <mergeCell ref="C574:C582"/>
    <mergeCell ref="A563:A564"/>
    <mergeCell ref="B563:B564"/>
    <mergeCell ref="C563:C564"/>
    <mergeCell ref="A565:A568"/>
    <mergeCell ref="B565:B568"/>
    <mergeCell ref="C565:C568"/>
    <mergeCell ref="A555:A557"/>
    <mergeCell ref="B555:E557"/>
    <mergeCell ref="B558:E558"/>
    <mergeCell ref="J558:N558"/>
    <mergeCell ref="A559:A562"/>
    <mergeCell ref="B559:B562"/>
    <mergeCell ref="C559:C562"/>
    <mergeCell ref="A550:A553"/>
    <mergeCell ref="B550:B553"/>
    <mergeCell ref="C550:C553"/>
    <mergeCell ref="C554:E554"/>
    <mergeCell ref="J554:N554"/>
    <mergeCell ref="A544:A546"/>
    <mergeCell ref="B544:B546"/>
    <mergeCell ref="C544:C546"/>
    <mergeCell ref="A547:A548"/>
    <mergeCell ref="B547:B548"/>
    <mergeCell ref="C547:C548"/>
    <mergeCell ref="B539:E539"/>
    <mergeCell ref="J539:N539"/>
    <mergeCell ref="A540:A543"/>
    <mergeCell ref="B540:B543"/>
    <mergeCell ref="C540:C543"/>
    <mergeCell ref="A531:A535"/>
    <mergeCell ref="B531:B535"/>
    <mergeCell ref="C531:C535"/>
    <mergeCell ref="A536:A538"/>
    <mergeCell ref="B536:B538"/>
    <mergeCell ref="C536:C538"/>
    <mergeCell ref="B524:E524"/>
    <mergeCell ref="J524:N524"/>
    <mergeCell ref="A525:A530"/>
    <mergeCell ref="B525:B530"/>
    <mergeCell ref="C525:C530"/>
    <mergeCell ref="A518:A520"/>
    <mergeCell ref="B518:B520"/>
    <mergeCell ref="C518:C520"/>
    <mergeCell ref="A521:A523"/>
    <mergeCell ref="B521:B523"/>
    <mergeCell ref="C521:C523"/>
    <mergeCell ref="B510:E510"/>
    <mergeCell ref="B511:E511"/>
    <mergeCell ref="J511:N511"/>
    <mergeCell ref="A513:A517"/>
    <mergeCell ref="B513:B517"/>
    <mergeCell ref="C513:C517"/>
    <mergeCell ref="A503:A508"/>
    <mergeCell ref="B503:B508"/>
    <mergeCell ref="C503:C508"/>
    <mergeCell ref="C509:E509"/>
    <mergeCell ref="J509:N509"/>
    <mergeCell ref="A495:A498"/>
    <mergeCell ref="B495:B498"/>
    <mergeCell ref="C495:C498"/>
    <mergeCell ref="A499:A502"/>
    <mergeCell ref="B499:B502"/>
    <mergeCell ref="C499:C502"/>
    <mergeCell ref="A486:A490"/>
    <mergeCell ref="B486:B490"/>
    <mergeCell ref="C486:C490"/>
    <mergeCell ref="A493:A494"/>
    <mergeCell ref="B493:B494"/>
    <mergeCell ref="C493:C494"/>
    <mergeCell ref="A477:A481"/>
    <mergeCell ref="B477:B481"/>
    <mergeCell ref="C477:C481"/>
    <mergeCell ref="A482:A485"/>
    <mergeCell ref="B482:B485"/>
    <mergeCell ref="C482:C485"/>
    <mergeCell ref="A469:A471"/>
    <mergeCell ref="B469:B471"/>
    <mergeCell ref="C469:C471"/>
    <mergeCell ref="A472:A476"/>
    <mergeCell ref="B472:B476"/>
    <mergeCell ref="C472:C476"/>
    <mergeCell ref="A461:A462"/>
    <mergeCell ref="B461:B462"/>
    <mergeCell ref="C461:C462"/>
    <mergeCell ref="A463:A468"/>
    <mergeCell ref="B463:B468"/>
    <mergeCell ref="C463:C468"/>
    <mergeCell ref="A452:A456"/>
    <mergeCell ref="B452:B456"/>
    <mergeCell ref="C452:C456"/>
    <mergeCell ref="A457:A459"/>
    <mergeCell ref="B457:B459"/>
    <mergeCell ref="C457:C459"/>
    <mergeCell ref="B447:E447"/>
    <mergeCell ref="B448:E448"/>
    <mergeCell ref="J448:N448"/>
    <mergeCell ref="A449:A450"/>
    <mergeCell ref="B449:B450"/>
    <mergeCell ref="C449:C450"/>
    <mergeCell ref="A441:A442"/>
    <mergeCell ref="B441:B442"/>
    <mergeCell ref="C441:C442"/>
    <mergeCell ref="A444:A446"/>
    <mergeCell ref="B444:B446"/>
    <mergeCell ref="C444:C446"/>
    <mergeCell ref="A425:A433"/>
    <mergeCell ref="B425:B433"/>
    <mergeCell ref="C425:C433"/>
    <mergeCell ref="A436:A438"/>
    <mergeCell ref="B436:B438"/>
    <mergeCell ref="C436:C438"/>
    <mergeCell ref="A413:A420"/>
    <mergeCell ref="B413:B420"/>
    <mergeCell ref="C413:C420"/>
    <mergeCell ref="A421:A423"/>
    <mergeCell ref="B421:B423"/>
    <mergeCell ref="C421:C423"/>
    <mergeCell ref="A407:A409"/>
    <mergeCell ref="B407:B409"/>
    <mergeCell ref="C407:C409"/>
    <mergeCell ref="A410:A412"/>
    <mergeCell ref="B410:B412"/>
    <mergeCell ref="C410:C412"/>
    <mergeCell ref="A394:A403"/>
    <mergeCell ref="B394:B403"/>
    <mergeCell ref="C394:C403"/>
    <mergeCell ref="A404:A405"/>
    <mergeCell ref="B404:B405"/>
    <mergeCell ref="C404:C405"/>
    <mergeCell ref="A380:A390"/>
    <mergeCell ref="B380:B390"/>
    <mergeCell ref="C380:C390"/>
    <mergeCell ref="B393:E393"/>
    <mergeCell ref="J393:N393"/>
    <mergeCell ref="A372:A373"/>
    <mergeCell ref="B372:B373"/>
    <mergeCell ref="C372:C373"/>
    <mergeCell ref="A374:A379"/>
    <mergeCell ref="B374:B379"/>
    <mergeCell ref="C374:C379"/>
    <mergeCell ref="A362:A363"/>
    <mergeCell ref="B362:E363"/>
    <mergeCell ref="B364:E364"/>
    <mergeCell ref="J364:N364"/>
    <mergeCell ref="A365:A371"/>
    <mergeCell ref="B365:B371"/>
    <mergeCell ref="C365:C371"/>
    <mergeCell ref="A358:A359"/>
    <mergeCell ref="B358:B359"/>
    <mergeCell ref="C358:C359"/>
    <mergeCell ref="C361:E361"/>
    <mergeCell ref="J361:N361"/>
    <mergeCell ref="A354:A356"/>
    <mergeCell ref="B354:B356"/>
    <mergeCell ref="C354:C356"/>
    <mergeCell ref="B357:E357"/>
    <mergeCell ref="J357:N357"/>
    <mergeCell ref="A347:A350"/>
    <mergeCell ref="B347:B350"/>
    <mergeCell ref="C347:C350"/>
    <mergeCell ref="A352:A353"/>
    <mergeCell ref="B352:B353"/>
    <mergeCell ref="C352:C353"/>
    <mergeCell ref="A342:A344"/>
    <mergeCell ref="B342:B344"/>
    <mergeCell ref="C342:C344"/>
    <mergeCell ref="A345:A346"/>
    <mergeCell ref="B345:B346"/>
    <mergeCell ref="C345:C346"/>
    <mergeCell ref="B337:E337"/>
    <mergeCell ref="J337:N337"/>
    <mergeCell ref="A338:A341"/>
    <mergeCell ref="B338:B341"/>
    <mergeCell ref="C338:C341"/>
    <mergeCell ref="A325:A328"/>
    <mergeCell ref="B325:B328"/>
    <mergeCell ref="C325:C328"/>
    <mergeCell ref="A329:A335"/>
    <mergeCell ref="B329:B335"/>
    <mergeCell ref="C329:C335"/>
    <mergeCell ref="A320:A321"/>
    <mergeCell ref="B320:B321"/>
    <mergeCell ref="C320:C321"/>
    <mergeCell ref="A322:A324"/>
    <mergeCell ref="B322:B324"/>
    <mergeCell ref="C322:C324"/>
    <mergeCell ref="A307:A314"/>
    <mergeCell ref="B307:B314"/>
    <mergeCell ref="C307:C314"/>
    <mergeCell ref="A315:A319"/>
    <mergeCell ref="B315:B319"/>
    <mergeCell ref="C315:C319"/>
    <mergeCell ref="C303:E303"/>
    <mergeCell ref="J303:N303"/>
    <mergeCell ref="A304:A305"/>
    <mergeCell ref="B304:E305"/>
    <mergeCell ref="B306:E306"/>
    <mergeCell ref="J306:N306"/>
    <mergeCell ref="A295:A298"/>
    <mergeCell ref="B295:B298"/>
    <mergeCell ref="C295:C298"/>
    <mergeCell ref="A299:A301"/>
    <mergeCell ref="B299:B301"/>
    <mergeCell ref="C299:C301"/>
    <mergeCell ref="A289:A290"/>
    <mergeCell ref="B289:B290"/>
    <mergeCell ref="C289:C290"/>
    <mergeCell ref="B293:E293"/>
    <mergeCell ref="J293:N293"/>
    <mergeCell ref="B284:E284"/>
    <mergeCell ref="J284:N284"/>
    <mergeCell ref="A285:A286"/>
    <mergeCell ref="B285:B286"/>
    <mergeCell ref="C285:C286"/>
    <mergeCell ref="B278:E278"/>
    <mergeCell ref="B279:E279"/>
    <mergeCell ref="J279:N279"/>
    <mergeCell ref="A280:A281"/>
    <mergeCell ref="B280:B281"/>
    <mergeCell ref="C280:C281"/>
    <mergeCell ref="A275:A276"/>
    <mergeCell ref="B275:B276"/>
    <mergeCell ref="C275:C276"/>
    <mergeCell ref="C277:E277"/>
    <mergeCell ref="J277:N277"/>
    <mergeCell ref="A260:A263"/>
    <mergeCell ref="B260:B263"/>
    <mergeCell ref="C260:C263"/>
    <mergeCell ref="A264:A274"/>
    <mergeCell ref="B264:B274"/>
    <mergeCell ref="C264:C274"/>
    <mergeCell ref="A252:A257"/>
    <mergeCell ref="B252:B257"/>
    <mergeCell ref="C252:C257"/>
    <mergeCell ref="A258:A259"/>
    <mergeCell ref="B258:B259"/>
    <mergeCell ref="C258:C259"/>
    <mergeCell ref="B248:E248"/>
    <mergeCell ref="J248:N248"/>
    <mergeCell ref="A249:A251"/>
    <mergeCell ref="B249:B251"/>
    <mergeCell ref="C249:C251"/>
    <mergeCell ref="C236:E236"/>
    <mergeCell ref="J236:N236"/>
    <mergeCell ref="A237:A240"/>
    <mergeCell ref="B237:E240"/>
    <mergeCell ref="B241:E241"/>
    <mergeCell ref="J241:N241"/>
    <mergeCell ref="A243:A245"/>
    <mergeCell ref="B243:B245"/>
    <mergeCell ref="C243:C245"/>
    <mergeCell ref="A246:A247"/>
    <mergeCell ref="B246:B247"/>
    <mergeCell ref="C246:C247"/>
    <mergeCell ref="A229:A232"/>
    <mergeCell ref="B229:B232"/>
    <mergeCell ref="C229:C232"/>
    <mergeCell ref="A233:A235"/>
    <mergeCell ref="B233:B235"/>
    <mergeCell ref="C233:C235"/>
    <mergeCell ref="A222:A225"/>
    <mergeCell ref="B222:B225"/>
    <mergeCell ref="C222:C225"/>
    <mergeCell ref="B228:E228"/>
    <mergeCell ref="J228:N228"/>
    <mergeCell ref="J212:N212"/>
    <mergeCell ref="A213:A218"/>
    <mergeCell ref="B213:B218"/>
    <mergeCell ref="C213:C218"/>
    <mergeCell ref="A219:A221"/>
    <mergeCell ref="B219:B221"/>
    <mergeCell ref="C219:C221"/>
    <mergeCell ref="A207:A210"/>
    <mergeCell ref="B207:B210"/>
    <mergeCell ref="C207:C210"/>
    <mergeCell ref="B211:E211"/>
    <mergeCell ref="B212:E212"/>
    <mergeCell ref="A199:A203"/>
    <mergeCell ref="B199:B203"/>
    <mergeCell ref="C199:C203"/>
    <mergeCell ref="A204:A206"/>
    <mergeCell ref="B204:B206"/>
    <mergeCell ref="C204:C206"/>
    <mergeCell ref="A191:A194"/>
    <mergeCell ref="B191:B194"/>
    <mergeCell ref="C191:C194"/>
    <mergeCell ref="A195:A198"/>
    <mergeCell ref="B195:B198"/>
    <mergeCell ref="C195:C198"/>
    <mergeCell ref="A183:A186"/>
    <mergeCell ref="B183:B186"/>
    <mergeCell ref="C183:C186"/>
    <mergeCell ref="A187:A190"/>
    <mergeCell ref="B187:B190"/>
    <mergeCell ref="C187:C190"/>
    <mergeCell ref="A180:A181"/>
    <mergeCell ref="B180:B181"/>
    <mergeCell ref="C180:C181"/>
    <mergeCell ref="B182:E182"/>
    <mergeCell ref="J182:N182"/>
    <mergeCell ref="A174:A176"/>
    <mergeCell ref="B174:B176"/>
    <mergeCell ref="C174:C176"/>
    <mergeCell ref="A177:A179"/>
    <mergeCell ref="B177:B179"/>
    <mergeCell ref="C177:C179"/>
    <mergeCell ref="B170:E170"/>
    <mergeCell ref="J170:N170"/>
    <mergeCell ref="A171:A173"/>
    <mergeCell ref="B171:B173"/>
    <mergeCell ref="C171:C173"/>
    <mergeCell ref="A162:A166"/>
    <mergeCell ref="B162:B166"/>
    <mergeCell ref="C162:C166"/>
    <mergeCell ref="A167:A169"/>
    <mergeCell ref="B167:B169"/>
    <mergeCell ref="C167:C169"/>
    <mergeCell ref="C159:E159"/>
    <mergeCell ref="J159:N159"/>
    <mergeCell ref="B160:E160"/>
    <mergeCell ref="B161:E161"/>
    <mergeCell ref="J161:N161"/>
    <mergeCell ref="A153:A154"/>
    <mergeCell ref="B153:B154"/>
    <mergeCell ref="C153:C154"/>
    <mergeCell ref="A155:A158"/>
    <mergeCell ref="B155:B158"/>
    <mergeCell ref="C155:C158"/>
    <mergeCell ref="A149:A151"/>
    <mergeCell ref="B149:B151"/>
    <mergeCell ref="C149:C151"/>
    <mergeCell ref="B152:E152"/>
    <mergeCell ref="J152:N152"/>
    <mergeCell ref="A141:A144"/>
    <mergeCell ref="B141:B144"/>
    <mergeCell ref="C141:C144"/>
    <mergeCell ref="B147:E147"/>
    <mergeCell ref="J147:N147"/>
    <mergeCell ref="A134:A137"/>
    <mergeCell ref="B134:B137"/>
    <mergeCell ref="C134:C137"/>
    <mergeCell ref="A138:A140"/>
    <mergeCell ref="B138:B140"/>
    <mergeCell ref="C138:C140"/>
    <mergeCell ref="B130:E130"/>
    <mergeCell ref="J130:N130"/>
    <mergeCell ref="A131:A133"/>
    <mergeCell ref="B131:B133"/>
    <mergeCell ref="C131:C133"/>
    <mergeCell ref="A124:A125"/>
    <mergeCell ref="B124:B125"/>
    <mergeCell ref="C124:C125"/>
    <mergeCell ref="A126:A129"/>
    <mergeCell ref="B126:B129"/>
    <mergeCell ref="C126:C129"/>
    <mergeCell ref="A120:A122"/>
    <mergeCell ref="B120:B122"/>
    <mergeCell ref="C120:C122"/>
    <mergeCell ref="B123:E123"/>
    <mergeCell ref="J123:N123"/>
    <mergeCell ref="A114:A116"/>
    <mergeCell ref="B114:B116"/>
    <mergeCell ref="C114:C116"/>
    <mergeCell ref="A117:A119"/>
    <mergeCell ref="B117:B119"/>
    <mergeCell ref="C117:C119"/>
    <mergeCell ref="B110:E110"/>
    <mergeCell ref="J110:N110"/>
    <mergeCell ref="A111:A113"/>
    <mergeCell ref="B111:B113"/>
    <mergeCell ref="C111:C113"/>
    <mergeCell ref="B105:E105"/>
    <mergeCell ref="J105:N105"/>
    <mergeCell ref="C108:E108"/>
    <mergeCell ref="B109:E109"/>
    <mergeCell ref="J108:N108"/>
    <mergeCell ref="A100:A101"/>
    <mergeCell ref="B100:B101"/>
    <mergeCell ref="C100:C101"/>
    <mergeCell ref="A102:A103"/>
    <mergeCell ref="B102:B103"/>
    <mergeCell ref="C102:C103"/>
    <mergeCell ref="A93:A94"/>
    <mergeCell ref="B93:E94"/>
    <mergeCell ref="B95:E95"/>
    <mergeCell ref="J95:N95"/>
    <mergeCell ref="A96:A99"/>
    <mergeCell ref="B96:B99"/>
    <mergeCell ref="C96:C99"/>
    <mergeCell ref="A85:A87"/>
    <mergeCell ref="B85:B87"/>
    <mergeCell ref="C85:C87"/>
    <mergeCell ref="A88:A91"/>
    <mergeCell ref="B88:B91"/>
    <mergeCell ref="C88:C91"/>
    <mergeCell ref="A76:A79"/>
    <mergeCell ref="B76:B79"/>
    <mergeCell ref="C76:C79"/>
    <mergeCell ref="A80:A84"/>
    <mergeCell ref="B80:B84"/>
    <mergeCell ref="C80:C84"/>
    <mergeCell ref="A64:A73"/>
    <mergeCell ref="B64:B73"/>
    <mergeCell ref="C64:C73"/>
    <mergeCell ref="A74:A75"/>
    <mergeCell ref="B74:B75"/>
    <mergeCell ref="C74:C75"/>
    <mergeCell ref="A60:A62"/>
    <mergeCell ref="B60:B62"/>
    <mergeCell ref="C60:C62"/>
    <mergeCell ref="B63:E63"/>
    <mergeCell ref="J63:N63"/>
    <mergeCell ref="C52:E52"/>
    <mergeCell ref="J52:N52"/>
    <mergeCell ref="A53:A55"/>
    <mergeCell ref="B53:E55"/>
    <mergeCell ref="B56:E56"/>
    <mergeCell ref="J56:N56"/>
    <mergeCell ref="A44:A47"/>
    <mergeCell ref="B44:B47"/>
    <mergeCell ref="C44:C47"/>
    <mergeCell ref="B49:E49"/>
    <mergeCell ref="J49:N49"/>
    <mergeCell ref="A40:A42"/>
    <mergeCell ref="B40:B42"/>
    <mergeCell ref="C40:C42"/>
    <mergeCell ref="B43:E43"/>
    <mergeCell ref="J43:N43"/>
    <mergeCell ref="B32:E32"/>
    <mergeCell ref="J32:N32"/>
    <mergeCell ref="A33:A38"/>
    <mergeCell ref="B33:B38"/>
    <mergeCell ref="C33:C38"/>
    <mergeCell ref="A27:A28"/>
    <mergeCell ref="B27:B28"/>
    <mergeCell ref="C27:C28"/>
    <mergeCell ref="A29:A31"/>
    <mergeCell ref="B29:B31"/>
    <mergeCell ref="C29:C31"/>
    <mergeCell ref="A16:A17"/>
    <mergeCell ref="B16:B17"/>
    <mergeCell ref="C16:C17"/>
    <mergeCell ref="A18:A26"/>
    <mergeCell ref="B18:B26"/>
    <mergeCell ref="C18:C26"/>
    <mergeCell ref="C13:E13"/>
    <mergeCell ref="J13:N13"/>
    <mergeCell ref="B14:E14"/>
    <mergeCell ref="B15:E15"/>
    <mergeCell ref="J15:N15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  <mergeCell ref="A699:A700"/>
    <mergeCell ref="B699:B700"/>
    <mergeCell ref="C699:C700"/>
    <mergeCell ref="B703:E703"/>
    <mergeCell ref="J703:N703"/>
    <mergeCell ref="A705:A709"/>
    <mergeCell ref="B705:B709"/>
    <mergeCell ref="C705:C709"/>
    <mergeCell ref="A710:A711"/>
    <mergeCell ref="B710:B711"/>
    <mergeCell ref="C710:C711"/>
    <mergeCell ref="B712:E712"/>
    <mergeCell ref="J712:N712"/>
    <mergeCell ref="A713:A714"/>
    <mergeCell ref="B713:B714"/>
    <mergeCell ref="C713:C714"/>
    <mergeCell ref="A715:A717"/>
    <mergeCell ref="B715:B717"/>
    <mergeCell ref="C715:C717"/>
    <mergeCell ref="A719:A720"/>
    <mergeCell ref="B719:B720"/>
    <mergeCell ref="C719:C720"/>
    <mergeCell ref="J721:N721"/>
    <mergeCell ref="A724:A725"/>
    <mergeCell ref="B724:B725"/>
    <mergeCell ref="C724:C725"/>
    <mergeCell ref="A726:A727"/>
    <mergeCell ref="B726:E727"/>
    <mergeCell ref="B728:E728"/>
    <mergeCell ref="J728:N728"/>
    <mergeCell ref="B721:E721"/>
    <mergeCell ref="A730:A733"/>
    <mergeCell ref="B730:B733"/>
    <mergeCell ref="C730:C733"/>
    <mergeCell ref="A734:A735"/>
    <mergeCell ref="B734:B735"/>
    <mergeCell ref="C734:C735"/>
    <mergeCell ref="A736:A737"/>
    <mergeCell ref="B736:B737"/>
    <mergeCell ref="C736:C737"/>
    <mergeCell ref="A738:A740"/>
    <mergeCell ref="B738:B740"/>
    <mergeCell ref="C738:C740"/>
    <mergeCell ref="A741:A743"/>
    <mergeCell ref="B741:B743"/>
    <mergeCell ref="C741:C743"/>
    <mergeCell ref="A744:A757"/>
    <mergeCell ref="B744:B757"/>
    <mergeCell ref="C744:C757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2023-11-17T10:38:57Z</dcterms:created>
  <dcterms:modified xsi:type="dcterms:W3CDTF">2023-11-20T13:25:00Z</dcterms:modified>
</cp:coreProperties>
</file>