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2021" sheetId="3" r:id="rId1"/>
  </sheets>
  <definedNames>
    <definedName name="_xlnm.Print_Titles" localSheetId="0">'2021'!$9:$11</definedName>
  </definedNames>
  <calcPr calcId="125725"/>
</workbook>
</file>

<file path=xl/calcChain.xml><?xml version="1.0" encoding="utf-8"?>
<calcChain xmlns="http://schemas.openxmlformats.org/spreadsheetml/2006/main">
  <c r="K329" i="3"/>
  <c r="K316"/>
  <c r="I318"/>
  <c r="J335"/>
  <c r="H83"/>
  <c r="I36"/>
  <c r="J27"/>
  <c r="I27"/>
  <c r="I19"/>
  <c r="K19"/>
  <c r="K61"/>
  <c r="I61"/>
  <c r="J318"/>
  <c r="I38" l="1"/>
  <c r="K290"/>
  <c r="J79"/>
  <c r="I79"/>
  <c r="I135"/>
  <c r="I124"/>
  <c r="I113"/>
  <c r="I101"/>
  <c r="J33"/>
  <c r="I33"/>
  <c r="J80"/>
  <c r="I80"/>
  <c r="I110"/>
  <c r="I72"/>
  <c r="I64"/>
  <c r="K93" l="1"/>
  <c r="J22" l="1"/>
  <c r="J23"/>
  <c r="K23"/>
  <c r="I39"/>
  <c r="I89"/>
  <c r="K321" l="1"/>
  <c r="J334"/>
  <c r="I50"/>
  <c r="J39"/>
  <c r="J331" s="1"/>
  <c r="I293"/>
  <c r="I334"/>
  <c r="I17"/>
  <c r="I332" s="1"/>
  <c r="J82"/>
  <c r="J337" s="1"/>
  <c r="I82"/>
  <c r="I78" s="1"/>
  <c r="I301"/>
  <c r="I30"/>
  <c r="I28"/>
  <c r="I335" s="1"/>
  <c r="J32"/>
  <c r="K312"/>
  <c r="J312"/>
  <c r="I312"/>
  <c r="H314"/>
  <c r="H313"/>
  <c r="D313"/>
  <c r="J38"/>
  <c r="J298"/>
  <c r="J329" s="1"/>
  <c r="I298"/>
  <c r="D75"/>
  <c r="H75"/>
  <c r="K38"/>
  <c r="I87"/>
  <c r="D45"/>
  <c r="H45"/>
  <c r="K337"/>
  <c r="K334"/>
  <c r="K332"/>
  <c r="J332"/>
  <c r="K331"/>
  <c r="I329" l="1"/>
  <c r="H312"/>
  <c r="I331"/>
  <c r="H324"/>
  <c r="J338" l="1"/>
  <c r="K338"/>
  <c r="I338"/>
  <c r="H168"/>
  <c r="H34"/>
  <c r="H155" l="1"/>
  <c r="H99" l="1"/>
  <c r="I13" l="1"/>
  <c r="J13"/>
  <c r="K335" l="1"/>
  <c r="J321" l="1"/>
  <c r="I321"/>
  <c r="H123"/>
  <c r="I196" l="1"/>
  <c r="H112" l="1"/>
  <c r="J106"/>
  <c r="K106"/>
  <c r="K104" s="1"/>
  <c r="I106"/>
  <c r="I104" l="1"/>
  <c r="I252" l="1"/>
  <c r="I240"/>
  <c r="H240" s="1"/>
  <c r="H241"/>
  <c r="H110"/>
  <c r="I85" l="1"/>
  <c r="K85"/>
  <c r="D88"/>
  <c r="H88"/>
  <c r="H219" l="1"/>
  <c r="I330" l="1"/>
  <c r="I24"/>
  <c r="I337" s="1"/>
  <c r="H16" l="1"/>
  <c r="I339"/>
  <c r="K339" l="1"/>
  <c r="J336" l="1"/>
  <c r="K336"/>
  <c r="I336"/>
  <c r="H41"/>
  <c r="H22"/>
  <c r="H23"/>
  <c r="J333"/>
  <c r="H336" l="1"/>
  <c r="J78" l="1"/>
  <c r="J297" l="1"/>
  <c r="K297"/>
  <c r="I297"/>
  <c r="J306"/>
  <c r="J304" s="1"/>
  <c r="K306"/>
  <c r="K304" s="1"/>
  <c r="H310"/>
  <c r="H153"/>
  <c r="H132"/>
  <c r="H121"/>
  <c r="J212"/>
  <c r="J211" s="1"/>
  <c r="H216"/>
  <c r="H55"/>
  <c r="H81"/>
  <c r="H40"/>
  <c r="H49"/>
  <c r="J234"/>
  <c r="K234"/>
  <c r="I234"/>
  <c r="I232" s="1"/>
  <c r="H238"/>
  <c r="K212"/>
  <c r="K211" s="1"/>
  <c r="I212"/>
  <c r="I211" s="1"/>
  <c r="H64"/>
  <c r="K68"/>
  <c r="K67" s="1"/>
  <c r="I68"/>
  <c r="I67" s="1"/>
  <c r="J289"/>
  <c r="I289"/>
  <c r="H293"/>
  <c r="H72"/>
  <c r="H297" l="1"/>
  <c r="J68"/>
  <c r="J67" s="1"/>
  <c r="H327" l="1"/>
  <c r="H215" l="1"/>
  <c r="I306"/>
  <c r="I304" s="1"/>
  <c r="H292"/>
  <c r="H71"/>
  <c r="H63"/>
  <c r="H15" l="1"/>
  <c r="H29" l="1"/>
  <c r="J330"/>
  <c r="H24"/>
  <c r="K18" l="1"/>
  <c r="K341" s="1"/>
  <c r="J26"/>
  <c r="J342" s="1"/>
  <c r="I60"/>
  <c r="I222"/>
  <c r="H43"/>
  <c r="H331"/>
  <c r="I268"/>
  <c r="K330"/>
  <c r="D141"/>
  <c r="H141"/>
  <c r="I128"/>
  <c r="D97"/>
  <c r="H97"/>
  <c r="D59"/>
  <c r="H59"/>
  <c r="H298"/>
  <c r="H299"/>
  <c r="H301"/>
  <c r="I280"/>
  <c r="K280"/>
  <c r="K278" s="1"/>
  <c r="K268"/>
  <c r="I258"/>
  <c r="I256" s="1"/>
  <c r="K258"/>
  <c r="I246"/>
  <c r="I244" s="1"/>
  <c r="K246"/>
  <c r="H234"/>
  <c r="K222"/>
  <c r="H212"/>
  <c r="I201"/>
  <c r="I199" s="1"/>
  <c r="K201"/>
  <c r="I190"/>
  <c r="I188" s="1"/>
  <c r="K190"/>
  <c r="K188" s="1"/>
  <c r="I177"/>
  <c r="K177"/>
  <c r="I163"/>
  <c r="I161" s="1"/>
  <c r="K163"/>
  <c r="I149"/>
  <c r="K149"/>
  <c r="I139"/>
  <c r="I137" s="1"/>
  <c r="K139"/>
  <c r="K128"/>
  <c r="K126" s="1"/>
  <c r="I117"/>
  <c r="I115" s="1"/>
  <c r="K117"/>
  <c r="K115" s="1"/>
  <c r="I92"/>
  <c r="I90" s="1"/>
  <c r="K92"/>
  <c r="K90" s="1"/>
  <c r="K60"/>
  <c r="K58" s="1"/>
  <c r="K13"/>
  <c r="G212"/>
  <c r="F213"/>
  <c r="F212" s="1"/>
  <c r="E213"/>
  <c r="E212" s="1"/>
  <c r="D217"/>
  <c r="K296"/>
  <c r="G297"/>
  <c r="F297"/>
  <c r="E297"/>
  <c r="D298"/>
  <c r="D299"/>
  <c r="D301"/>
  <c r="H94"/>
  <c r="H108"/>
  <c r="F38"/>
  <c r="F37" s="1"/>
  <c r="E38"/>
  <c r="E37" s="1"/>
  <c r="F290"/>
  <c r="F289" s="1"/>
  <c r="F287" s="1"/>
  <c r="E290"/>
  <c r="D290" s="1"/>
  <c r="F281"/>
  <c r="F280" s="1"/>
  <c r="F278" s="1"/>
  <c r="E281"/>
  <c r="E280" s="1"/>
  <c r="F69"/>
  <c r="F68" s="1"/>
  <c r="F67" s="1"/>
  <c r="E69"/>
  <c r="D69" s="1"/>
  <c r="G333"/>
  <c r="F61"/>
  <c r="F60" s="1"/>
  <c r="E61"/>
  <c r="E60" s="1"/>
  <c r="G85"/>
  <c r="G37"/>
  <c r="G52"/>
  <c r="G51" s="1"/>
  <c r="F52"/>
  <c r="F51" s="1"/>
  <c r="E85"/>
  <c r="E52"/>
  <c r="E51" s="1"/>
  <c r="D325"/>
  <c r="D318"/>
  <c r="D315"/>
  <c r="D295"/>
  <c r="D286"/>
  <c r="D277"/>
  <c r="D265"/>
  <c r="D255"/>
  <c r="D243"/>
  <c r="D231"/>
  <c r="D210"/>
  <c r="D198"/>
  <c r="D186"/>
  <c r="D174"/>
  <c r="D160"/>
  <c r="D146"/>
  <c r="D136"/>
  <c r="D125"/>
  <c r="D103"/>
  <c r="D303"/>
  <c r="D66"/>
  <c r="D74"/>
  <c r="D84"/>
  <c r="G321"/>
  <c r="G274"/>
  <c r="G264"/>
  <c r="G252"/>
  <c r="G228"/>
  <c r="G207"/>
  <c r="G196"/>
  <c r="G183"/>
  <c r="G170"/>
  <c r="G156"/>
  <c r="G145"/>
  <c r="G31"/>
  <c r="F321"/>
  <c r="F319" s="1"/>
  <c r="F274"/>
  <c r="F264"/>
  <c r="F252"/>
  <c r="F228"/>
  <c r="F207"/>
  <c r="F196"/>
  <c r="F183"/>
  <c r="F170"/>
  <c r="F156"/>
  <c r="F145"/>
  <c r="F31"/>
  <c r="F47"/>
  <c r="F46" s="1"/>
  <c r="F78"/>
  <c r="F76" s="1"/>
  <c r="E321"/>
  <c r="E274"/>
  <c r="E264"/>
  <c r="E252"/>
  <c r="E228"/>
  <c r="D228" s="1"/>
  <c r="E207"/>
  <c r="E196"/>
  <c r="E183"/>
  <c r="E170"/>
  <c r="E156"/>
  <c r="E145"/>
  <c r="E31"/>
  <c r="E47"/>
  <c r="E46" s="1"/>
  <c r="E78"/>
  <c r="E77" s="1"/>
  <c r="D285"/>
  <c r="D242"/>
  <c r="D135"/>
  <c r="D124"/>
  <c r="D113"/>
  <c r="D101"/>
  <c r="D302"/>
  <c r="G26"/>
  <c r="G342" s="1"/>
  <c r="F26"/>
  <c r="F342" s="1"/>
  <c r="E26"/>
  <c r="E342" s="1"/>
  <c r="G18"/>
  <c r="G341" s="1"/>
  <c r="F18"/>
  <c r="F341" s="1"/>
  <c r="E18"/>
  <c r="E341" s="1"/>
  <c r="D218"/>
  <c r="G306"/>
  <c r="G304" s="1"/>
  <c r="G296"/>
  <c r="G289"/>
  <c r="G287" s="1"/>
  <c r="G280"/>
  <c r="G278" s="1"/>
  <c r="G268"/>
  <c r="G258"/>
  <c r="G246"/>
  <c r="G234"/>
  <c r="G232" s="1"/>
  <c r="G222"/>
  <c r="G211"/>
  <c r="G339" s="1"/>
  <c r="G201"/>
  <c r="G190"/>
  <c r="G177"/>
  <c r="G163"/>
  <c r="G149"/>
  <c r="G139"/>
  <c r="G128"/>
  <c r="G126" s="1"/>
  <c r="G117"/>
  <c r="G115" s="1"/>
  <c r="G106"/>
  <c r="G104" s="1"/>
  <c r="G92"/>
  <c r="G90" s="1"/>
  <c r="G60"/>
  <c r="G58" s="1"/>
  <c r="F306"/>
  <c r="F304" s="1"/>
  <c r="F296"/>
  <c r="F268"/>
  <c r="F258"/>
  <c r="F246"/>
  <c r="F234"/>
  <c r="F232" s="1"/>
  <c r="F222"/>
  <c r="F201"/>
  <c r="F190"/>
  <c r="F177"/>
  <c r="F163"/>
  <c r="F149"/>
  <c r="F139"/>
  <c r="F128"/>
  <c r="F126" s="1"/>
  <c r="F117"/>
  <c r="F115" s="1"/>
  <c r="F106"/>
  <c r="F104" s="1"/>
  <c r="F92"/>
  <c r="F90" s="1"/>
  <c r="F13"/>
  <c r="E306"/>
  <c r="E304" s="1"/>
  <c r="E296"/>
  <c r="E268"/>
  <c r="E258"/>
  <c r="E246"/>
  <c r="E234"/>
  <c r="E232" s="1"/>
  <c r="E222"/>
  <c r="E201"/>
  <c r="E190"/>
  <c r="E177"/>
  <c r="E163"/>
  <c r="E149"/>
  <c r="E139"/>
  <c r="E128"/>
  <c r="E126" s="1"/>
  <c r="E117"/>
  <c r="E106"/>
  <c r="E104" s="1"/>
  <c r="E92"/>
  <c r="E90" s="1"/>
  <c r="E13"/>
  <c r="F339"/>
  <c r="E339"/>
  <c r="G338"/>
  <c r="F338"/>
  <c r="E338"/>
  <c r="G337"/>
  <c r="F337"/>
  <c r="E337"/>
  <c r="G336"/>
  <c r="D336" s="1"/>
  <c r="F336"/>
  <c r="G335"/>
  <c r="F335"/>
  <c r="E335"/>
  <c r="G334"/>
  <c r="F334"/>
  <c r="E334"/>
  <c r="F333"/>
  <c r="E333"/>
  <c r="G332"/>
  <c r="F332"/>
  <c r="E332"/>
  <c r="G331"/>
  <c r="F331"/>
  <c r="E331"/>
  <c r="G330"/>
  <c r="F330"/>
  <c r="E330"/>
  <c r="G329"/>
  <c r="G319"/>
  <c r="G316"/>
  <c r="F316"/>
  <c r="E316"/>
  <c r="D324"/>
  <c r="D323"/>
  <c r="D322"/>
  <c r="D311"/>
  <c r="D309"/>
  <c r="D308"/>
  <c r="D307"/>
  <c r="D300"/>
  <c r="D294"/>
  <c r="D291"/>
  <c r="D284"/>
  <c r="D283"/>
  <c r="D282"/>
  <c r="D276"/>
  <c r="D275"/>
  <c r="D273"/>
  <c r="D272"/>
  <c r="D271"/>
  <c r="D270"/>
  <c r="D269"/>
  <c r="D263"/>
  <c r="D262"/>
  <c r="D261"/>
  <c r="D260"/>
  <c r="D259"/>
  <c r="D254"/>
  <c r="D253"/>
  <c r="D251"/>
  <c r="D250"/>
  <c r="D249"/>
  <c r="D248"/>
  <c r="D247"/>
  <c r="D239"/>
  <c r="D237"/>
  <c r="D236"/>
  <c r="D235"/>
  <c r="D230"/>
  <c r="D229"/>
  <c r="D227"/>
  <c r="D226"/>
  <c r="D225"/>
  <c r="D224"/>
  <c r="D223"/>
  <c r="D214"/>
  <c r="D209"/>
  <c r="D208"/>
  <c r="D206"/>
  <c r="D205"/>
  <c r="D204"/>
  <c r="D203"/>
  <c r="D202"/>
  <c r="D197"/>
  <c r="D195"/>
  <c r="D194"/>
  <c r="D193"/>
  <c r="D192"/>
  <c r="D191"/>
  <c r="D185"/>
  <c r="D184"/>
  <c r="D182"/>
  <c r="D181"/>
  <c r="D180"/>
  <c r="D179"/>
  <c r="D178"/>
  <c r="D173"/>
  <c r="D172"/>
  <c r="D171"/>
  <c r="D169"/>
  <c r="D167"/>
  <c r="D166"/>
  <c r="D165"/>
  <c r="D164"/>
  <c r="D159"/>
  <c r="D158"/>
  <c r="D157"/>
  <c r="D154"/>
  <c r="D153"/>
  <c r="D152"/>
  <c r="D151"/>
  <c r="D150"/>
  <c r="D144"/>
  <c r="D143"/>
  <c r="D142"/>
  <c r="D140"/>
  <c r="D134"/>
  <c r="D133"/>
  <c r="D131"/>
  <c r="D130"/>
  <c r="D129"/>
  <c r="D122"/>
  <c r="D120"/>
  <c r="D119"/>
  <c r="D118"/>
  <c r="D111"/>
  <c r="D109"/>
  <c r="D108"/>
  <c r="D107"/>
  <c r="G105"/>
  <c r="F105"/>
  <c r="E105"/>
  <c r="D98"/>
  <c r="D96"/>
  <c r="D95"/>
  <c r="D94"/>
  <c r="D93"/>
  <c r="D91"/>
  <c r="D89"/>
  <c r="D87"/>
  <c r="G86"/>
  <c r="F86"/>
  <c r="E86"/>
  <c r="D82"/>
  <c r="D80"/>
  <c r="D79"/>
  <c r="G78"/>
  <c r="G76" s="1"/>
  <c r="D73"/>
  <c r="D70"/>
  <c r="G68"/>
  <c r="G67" s="1"/>
  <c r="D65"/>
  <c r="D62"/>
  <c r="D56"/>
  <c r="D54"/>
  <c r="D53"/>
  <c r="D50"/>
  <c r="D48"/>
  <c r="G47"/>
  <c r="D44"/>
  <c r="D42"/>
  <c r="D39"/>
  <c r="D36"/>
  <c r="D35"/>
  <c r="D33"/>
  <c r="D32"/>
  <c r="D30"/>
  <c r="D28"/>
  <c r="D27"/>
  <c r="D25"/>
  <c r="D21"/>
  <c r="D20"/>
  <c r="D19"/>
  <c r="D14"/>
  <c r="G13"/>
  <c r="I18"/>
  <c r="I341" s="1"/>
  <c r="I26"/>
  <c r="I342" s="1"/>
  <c r="H33"/>
  <c r="K26"/>
  <c r="K342" s="1"/>
  <c r="K31"/>
  <c r="K37"/>
  <c r="J92"/>
  <c r="J90" s="1"/>
  <c r="J246"/>
  <c r="J244" s="1"/>
  <c r="J18"/>
  <c r="J341" s="1"/>
  <c r="J31"/>
  <c r="H19"/>
  <c r="H27"/>
  <c r="H32"/>
  <c r="H20"/>
  <c r="H39"/>
  <c r="H17"/>
  <c r="H35"/>
  <c r="H25"/>
  <c r="H36"/>
  <c r="H30"/>
  <c r="H44"/>
  <c r="H48"/>
  <c r="K47"/>
  <c r="K46" s="1"/>
  <c r="J47"/>
  <c r="J46" s="1"/>
  <c r="I52"/>
  <c r="I51" s="1"/>
  <c r="K52"/>
  <c r="K51" s="1"/>
  <c r="J52"/>
  <c r="J51" s="1"/>
  <c r="H53"/>
  <c r="H54"/>
  <c r="H56"/>
  <c r="J60"/>
  <c r="J58" s="1"/>
  <c r="H62"/>
  <c r="H65"/>
  <c r="H66"/>
  <c r="H69"/>
  <c r="H70"/>
  <c r="H73"/>
  <c r="H74"/>
  <c r="H82"/>
  <c r="K78"/>
  <c r="K76" s="1"/>
  <c r="H84"/>
  <c r="K86"/>
  <c r="J86"/>
  <c r="H89"/>
  <c r="H101"/>
  <c r="H91"/>
  <c r="H93"/>
  <c r="H95"/>
  <c r="H96"/>
  <c r="H98"/>
  <c r="H103"/>
  <c r="J104"/>
  <c r="K105"/>
  <c r="J105"/>
  <c r="H107"/>
  <c r="H109"/>
  <c r="H111"/>
  <c r="H113"/>
  <c r="H114"/>
  <c r="J117"/>
  <c r="J115" s="1"/>
  <c r="H118"/>
  <c r="H119"/>
  <c r="H120"/>
  <c r="H122"/>
  <c r="H124"/>
  <c r="H125"/>
  <c r="H135"/>
  <c r="J128"/>
  <c r="J126" s="1"/>
  <c r="H129"/>
  <c r="H130"/>
  <c r="H131"/>
  <c r="H133"/>
  <c r="H134"/>
  <c r="H136"/>
  <c r="J139"/>
  <c r="H142"/>
  <c r="H143"/>
  <c r="H144"/>
  <c r="H146"/>
  <c r="I156"/>
  <c r="K156"/>
  <c r="J149"/>
  <c r="J156"/>
  <c r="H150"/>
  <c r="H151"/>
  <c r="H152"/>
  <c r="H154"/>
  <c r="H158"/>
  <c r="H159"/>
  <c r="H160"/>
  <c r="K170"/>
  <c r="J163"/>
  <c r="J170"/>
  <c r="H165"/>
  <c r="H166"/>
  <c r="H167"/>
  <c r="H169"/>
  <c r="H172"/>
  <c r="H173"/>
  <c r="H174"/>
  <c r="I183"/>
  <c r="K183"/>
  <c r="J177"/>
  <c r="J183"/>
  <c r="H178"/>
  <c r="H179"/>
  <c r="H180"/>
  <c r="H181"/>
  <c r="H182"/>
  <c r="H185"/>
  <c r="H186"/>
  <c r="J190"/>
  <c r="J196"/>
  <c r="H191"/>
  <c r="H192"/>
  <c r="H193"/>
  <c r="H194"/>
  <c r="H195"/>
  <c r="H197"/>
  <c r="H198"/>
  <c r="H208"/>
  <c r="K207"/>
  <c r="H207" s="1"/>
  <c r="J201"/>
  <c r="J199" s="1"/>
  <c r="H202"/>
  <c r="H203"/>
  <c r="H204"/>
  <c r="H205"/>
  <c r="H206"/>
  <c r="H209"/>
  <c r="H210"/>
  <c r="H214"/>
  <c r="H217"/>
  <c r="H218"/>
  <c r="K228"/>
  <c r="J222"/>
  <c r="J228"/>
  <c r="H224"/>
  <c r="H225"/>
  <c r="H226"/>
  <c r="H227"/>
  <c r="H229"/>
  <c r="H231"/>
  <c r="H242"/>
  <c r="K232"/>
  <c r="J232"/>
  <c r="H235"/>
  <c r="H236"/>
  <c r="H237"/>
  <c r="H239"/>
  <c r="H243"/>
  <c r="K252"/>
  <c r="H247"/>
  <c r="H248"/>
  <c r="H249"/>
  <c r="H250"/>
  <c r="H251"/>
  <c r="H253"/>
  <c r="H255"/>
  <c r="J258"/>
  <c r="H259"/>
  <c r="H260"/>
  <c r="H261"/>
  <c r="H262"/>
  <c r="H263"/>
  <c r="H265"/>
  <c r="I274"/>
  <c r="K274"/>
  <c r="J268"/>
  <c r="J274"/>
  <c r="H269"/>
  <c r="H270"/>
  <c r="H271"/>
  <c r="H272"/>
  <c r="H273"/>
  <c r="H275"/>
  <c r="H277"/>
  <c r="J280"/>
  <c r="J278" s="1"/>
  <c r="H282"/>
  <c r="H283"/>
  <c r="H284"/>
  <c r="H285"/>
  <c r="H286"/>
  <c r="I287"/>
  <c r="J287"/>
  <c r="H290"/>
  <c r="H291"/>
  <c r="H294"/>
  <c r="H295"/>
  <c r="J296"/>
  <c r="H300"/>
  <c r="H302"/>
  <c r="H303"/>
  <c r="H307"/>
  <c r="H308"/>
  <c r="H309"/>
  <c r="H311"/>
  <c r="H315"/>
  <c r="I316"/>
  <c r="J316"/>
  <c r="H318"/>
  <c r="I319"/>
  <c r="J319"/>
  <c r="K319"/>
  <c r="H322"/>
  <c r="H323"/>
  <c r="H325"/>
  <c r="J339"/>
  <c r="I31"/>
  <c r="I37"/>
  <c r="J76"/>
  <c r="H281"/>
  <c r="H28"/>
  <c r="H335"/>
  <c r="H230"/>
  <c r="H140"/>
  <c r="I296"/>
  <c r="D38"/>
  <c r="H223"/>
  <c r="I105"/>
  <c r="J37"/>
  <c r="H42"/>
  <c r="H38"/>
  <c r="H164"/>
  <c r="I86"/>
  <c r="H50"/>
  <c r="H213"/>
  <c r="H184"/>
  <c r="H171"/>
  <c r="H79"/>
  <c r="H157"/>
  <c r="H87"/>
  <c r="I76"/>
  <c r="I47"/>
  <c r="H254"/>
  <c r="H80"/>
  <c r="H276"/>
  <c r="J77"/>
  <c r="I77"/>
  <c r="K343" l="1"/>
  <c r="K344"/>
  <c r="I344"/>
  <c r="G147"/>
  <c r="J343"/>
  <c r="J344"/>
  <c r="G137"/>
  <c r="J340"/>
  <c r="I340"/>
  <c r="K147"/>
  <c r="I175"/>
  <c r="D213"/>
  <c r="D212" s="1"/>
  <c r="E211"/>
  <c r="D211" s="1"/>
  <c r="E199"/>
  <c r="G175"/>
  <c r="D183"/>
  <c r="K220"/>
  <c r="G188"/>
  <c r="D196"/>
  <c r="D170"/>
  <c r="D321"/>
  <c r="D47"/>
  <c r="D163"/>
  <c r="D252"/>
  <c r="D117"/>
  <c r="D156"/>
  <c r="D264"/>
  <c r="D85"/>
  <c r="D149"/>
  <c r="D222"/>
  <c r="D232"/>
  <c r="D128"/>
  <c r="E137"/>
  <c r="G244"/>
  <c r="K256"/>
  <c r="H256" s="1"/>
  <c r="D126"/>
  <c r="E68"/>
  <c r="E67" s="1"/>
  <c r="D67" s="1"/>
  <c r="D296"/>
  <c r="H47"/>
  <c r="K161"/>
  <c r="H161" s="1"/>
  <c r="D281"/>
  <c r="K77"/>
  <c r="H77" s="1"/>
  <c r="J220"/>
  <c r="D61"/>
  <c r="E76"/>
  <c r="D76" s="1"/>
  <c r="D104"/>
  <c r="E147"/>
  <c r="D147" s="1"/>
  <c r="D190"/>
  <c r="D268"/>
  <c r="F266"/>
  <c r="G256"/>
  <c r="D334"/>
  <c r="D258"/>
  <c r="F244"/>
  <c r="F137"/>
  <c r="D18"/>
  <c r="D341" s="1"/>
  <c r="H316"/>
  <c r="E266"/>
  <c r="D337"/>
  <c r="E161"/>
  <c r="H228"/>
  <c r="G77"/>
  <c r="D77" s="1"/>
  <c r="G12"/>
  <c r="E115"/>
  <c r="D115" s="1"/>
  <c r="D333"/>
  <c r="F211"/>
  <c r="F340" s="1"/>
  <c r="G220"/>
  <c r="K266"/>
  <c r="K244"/>
  <c r="H244" s="1"/>
  <c r="D335"/>
  <c r="D338"/>
  <c r="E220"/>
  <c r="G161"/>
  <c r="F175"/>
  <c r="H86"/>
  <c r="D145"/>
  <c r="I266"/>
  <c r="H149"/>
  <c r="H139"/>
  <c r="D234"/>
  <c r="G340"/>
  <c r="H128"/>
  <c r="D246"/>
  <c r="H304"/>
  <c r="H31"/>
  <c r="H190"/>
  <c r="H105"/>
  <c r="H115"/>
  <c r="K137"/>
  <c r="H137" s="1"/>
  <c r="H296"/>
  <c r="I126"/>
  <c r="H126" s="1"/>
  <c r="H90"/>
  <c r="H52"/>
  <c r="H37"/>
  <c r="H26"/>
  <c r="H342" s="1"/>
  <c r="D13"/>
  <c r="D177"/>
  <c r="G46"/>
  <c r="D46" s="1"/>
  <c r="E188"/>
  <c r="D78"/>
  <c r="E244"/>
  <c r="F147"/>
  <c r="D51"/>
  <c r="H183"/>
  <c r="D106"/>
  <c r="E256"/>
  <c r="H196"/>
  <c r="H170"/>
  <c r="D52"/>
  <c r="F77"/>
  <c r="D105"/>
  <c r="D139"/>
  <c r="E175"/>
  <c r="F199"/>
  <c r="G199"/>
  <c r="H76"/>
  <c r="D90"/>
  <c r="F256"/>
  <c r="H92"/>
  <c r="H85"/>
  <c r="K289"/>
  <c r="K340" s="1"/>
  <c r="H319"/>
  <c r="H211"/>
  <c r="J188"/>
  <c r="H156"/>
  <c r="D316"/>
  <c r="F343"/>
  <c r="H280"/>
  <c r="D86"/>
  <c r="D207"/>
  <c r="K175"/>
  <c r="K199"/>
  <c r="H199" s="1"/>
  <c r="F220"/>
  <c r="J161"/>
  <c r="H268"/>
  <c r="G266"/>
  <c r="H104"/>
  <c r="H321"/>
  <c r="H337"/>
  <c r="J137"/>
  <c r="J256"/>
  <c r="D304"/>
  <c r="D332"/>
  <c r="H117"/>
  <c r="J147"/>
  <c r="H338"/>
  <c r="H68"/>
  <c r="H330"/>
  <c r="H78"/>
  <c r="H232"/>
  <c r="D274"/>
  <c r="E12"/>
  <c r="D306"/>
  <c r="H332"/>
  <c r="J175"/>
  <c r="D31"/>
  <c r="D297"/>
  <c r="H177"/>
  <c r="H201"/>
  <c r="H258"/>
  <c r="J12"/>
  <c r="H51"/>
  <c r="D26"/>
  <c r="D342" s="1"/>
  <c r="I278"/>
  <c r="H278" s="1"/>
  <c r="E319"/>
  <c r="D319" s="1"/>
  <c r="H21"/>
  <c r="E329"/>
  <c r="D329" s="1"/>
  <c r="D331"/>
  <c r="D339"/>
  <c r="F188"/>
  <c r="G344"/>
  <c r="E343"/>
  <c r="H334"/>
  <c r="K333"/>
  <c r="H333" s="1"/>
  <c r="J266"/>
  <c r="H339"/>
  <c r="I147"/>
  <c r="H67"/>
  <c r="H61"/>
  <c r="H14"/>
  <c r="F329"/>
  <c r="D330"/>
  <c r="F161"/>
  <c r="D92"/>
  <c r="H106"/>
  <c r="H163"/>
  <c r="H246"/>
  <c r="F58"/>
  <c r="I58"/>
  <c r="H58" s="1"/>
  <c r="H60"/>
  <c r="I12"/>
  <c r="H13"/>
  <c r="H18"/>
  <c r="K12"/>
  <c r="D280"/>
  <c r="E278"/>
  <c r="D278" s="1"/>
  <c r="I220"/>
  <c r="H222"/>
  <c r="D60"/>
  <c r="E58"/>
  <c r="D58" s="1"/>
  <c r="F344"/>
  <c r="F12"/>
  <c r="H264"/>
  <c r="H252"/>
  <c r="I46"/>
  <c r="H46" s="1"/>
  <c r="E344"/>
  <c r="H145"/>
  <c r="H274"/>
  <c r="D201"/>
  <c r="H306"/>
  <c r="D37"/>
  <c r="E289"/>
  <c r="D137" l="1"/>
  <c r="H344"/>
  <c r="J326"/>
  <c r="J328" s="1"/>
  <c r="H343"/>
  <c r="I326"/>
  <c r="I328" s="1"/>
  <c r="I343"/>
  <c r="H341"/>
  <c r="H175"/>
  <c r="D199"/>
  <c r="D175"/>
  <c r="H220"/>
  <c r="D188"/>
  <c r="H188"/>
  <c r="D244"/>
  <c r="D266"/>
  <c r="G343"/>
  <c r="D161"/>
  <c r="D68"/>
  <c r="D256"/>
  <c r="H266"/>
  <c r="D220"/>
  <c r="D12"/>
  <c r="H147"/>
  <c r="D344"/>
  <c r="G326"/>
  <c r="H329"/>
  <c r="F326"/>
  <c r="D343"/>
  <c r="K287"/>
  <c r="K326" s="1"/>
  <c r="H289"/>
  <c r="H340" s="1"/>
  <c r="H12"/>
  <c r="D289"/>
  <c r="E287"/>
  <c r="E340"/>
  <c r="D340" l="1"/>
  <c r="H287"/>
  <c r="E326"/>
  <c r="D326" s="1"/>
  <c r="D287"/>
  <c r="K328" l="1"/>
  <c r="H328" s="1"/>
  <c r="H326"/>
</calcChain>
</file>

<file path=xl/sharedStrings.xml><?xml version="1.0" encoding="utf-8"?>
<sst xmlns="http://schemas.openxmlformats.org/spreadsheetml/2006/main" count="408" uniqueCount="98">
  <si>
    <t>Išlaidoms</t>
  </si>
  <si>
    <t>Turtui įsigyti</t>
  </si>
  <si>
    <t>Programos kodas</t>
  </si>
  <si>
    <t>B</t>
  </si>
  <si>
    <t>L</t>
  </si>
  <si>
    <t>S</t>
  </si>
  <si>
    <t>R</t>
  </si>
  <si>
    <t>P</t>
  </si>
  <si>
    <t>D</t>
  </si>
  <si>
    <t>I</t>
  </si>
  <si>
    <t>K</t>
  </si>
  <si>
    <t>U</t>
  </si>
  <si>
    <t>Kupiškio rajono savivaldybės administracija</t>
  </si>
  <si>
    <t>Kupiškio socialinių paslaugų centras</t>
  </si>
  <si>
    <t>Kupiškio Lauryno Stuokos-Gucevičiaus gimnazija</t>
  </si>
  <si>
    <t>Kupiškio Povilo Matulionio progimnazija</t>
  </si>
  <si>
    <t>Kupiškio r. Alizavos pagrindinė mokykla</t>
  </si>
  <si>
    <t>Kupiškio jaunimo centras</t>
  </si>
  <si>
    <t>Kupiškio Kupos pradinė mokykla</t>
  </si>
  <si>
    <t>Kupiškio meno mokykla</t>
  </si>
  <si>
    <t>Kupiškio etnografijos muziejus</t>
  </si>
  <si>
    <t>Kupiškio r. švietimo pagalbos tarnyba</t>
  </si>
  <si>
    <t>Kupiškio rajono savivaldybės kontrolės ir audito tarnyba</t>
  </si>
  <si>
    <t>Kupiškio rajono  šv. Kazimiero vaikų globos namai</t>
  </si>
  <si>
    <t>Ekonominio konkurencingumo ir investicijų plėtros programa</t>
  </si>
  <si>
    <t>Viešosios infrastruktūros plėtros programa</t>
  </si>
  <si>
    <t>Socialinės ir sveikatos apsaugos programa</t>
  </si>
  <si>
    <t>Savivaldybės valdymo ir pagrindinių funkcijų vykdymo programa</t>
  </si>
  <si>
    <t>Kupiškio rajono savivaldybės tarybos</t>
  </si>
  <si>
    <t>3 priedas</t>
  </si>
  <si>
    <t>Iš viso asignavimų</t>
  </si>
  <si>
    <t>iš viso</t>
  </si>
  <si>
    <t>iš jų:  darbo užmokesčiui</t>
  </si>
  <si>
    <t>Asignavimų valdytojas /                                Vykdoma programa</t>
  </si>
  <si>
    <t>Biudžetinių įstaigų pajamų įmokų lėšos</t>
  </si>
  <si>
    <t>Paskolų lėšos</t>
  </si>
  <si>
    <t>Specialiųjų programų lėšos</t>
  </si>
  <si>
    <t>Valstybės investicijų programoje numatytiems projektams finansuoti</t>
  </si>
  <si>
    <t>Valstybinėms ( valstybės perduotoms savivaldybėms ) funkcijoms atlikti</t>
  </si>
  <si>
    <t>Kupiškio rajono savivaldybės administracijos                               Socialinės paramos skyrius</t>
  </si>
  <si>
    <t>Kupiškio rajono savivaldybės administracijos                                          Finansų ir biudžeto skyrius</t>
  </si>
  <si>
    <t>Kupiškio mokykla „Varpelis“</t>
  </si>
  <si>
    <t>Kupiškio vaikų lopšelis-darželis „Obelėlė“</t>
  </si>
  <si>
    <t>Kupiškio rajono savivaldybės priešgaisrinė tarnyba</t>
  </si>
  <si>
    <t>Kupiškio rajono savivaldybės kultūros centras</t>
  </si>
  <si>
    <t>Kupiškio rajono savivaldybės viešoji biblioteka</t>
  </si>
  <si>
    <t>Kupiškio vaikų lopšelis-darželis „Saulutė“</t>
  </si>
  <si>
    <t>Savivaldybės biudžeto lėšos (bendroms biudžeto reikmėms)</t>
  </si>
  <si>
    <t>2014 metų nepanaudotas biudžeto lėšų likutis</t>
  </si>
  <si>
    <t>Tikslinės paskirties lėšos</t>
  </si>
  <si>
    <t>Kupiškio r. kūno kultūros ir sporto centras</t>
  </si>
  <si>
    <t>01</t>
  </si>
  <si>
    <t>Bendros vastybės paslaugos</t>
  </si>
  <si>
    <t>Gynyba</t>
  </si>
  <si>
    <t>03</t>
  </si>
  <si>
    <t>Viešoji tvarka ir visuomenės apsauga</t>
  </si>
  <si>
    <t>04</t>
  </si>
  <si>
    <t>Ekonomika</t>
  </si>
  <si>
    <t>05</t>
  </si>
  <si>
    <t>Aplinkos apsauga</t>
  </si>
  <si>
    <t>06</t>
  </si>
  <si>
    <t>Būstas ir komunalinis ūkis</t>
  </si>
  <si>
    <t>07</t>
  </si>
  <si>
    <t>Sveikatos apsauga</t>
  </si>
  <si>
    <t>08</t>
  </si>
  <si>
    <t>Poilsis, kultūra ir religija</t>
  </si>
  <si>
    <t>09</t>
  </si>
  <si>
    <t>Švietimas</t>
  </si>
  <si>
    <t>10</t>
  </si>
  <si>
    <t>Socialinė apsauga</t>
  </si>
  <si>
    <t>____________________</t>
  </si>
  <si>
    <t>02</t>
  </si>
  <si>
    <t>iš jų: finansinių įsipareigojimų vykdymas (paskolų grąžinimas)</t>
  </si>
  <si>
    <t xml:space="preserve">IŠ VISO ASIGNAVIMŲ </t>
  </si>
  <si>
    <t>(eurais)</t>
  </si>
  <si>
    <t>iš jų: Kupiškio rajono savivaldybės administracijos direktoriaus rezervas</t>
  </si>
  <si>
    <t>iš jų: Kupiškio rajono savivaldybės taryba</t>
  </si>
  <si>
    <t>E</t>
  </si>
  <si>
    <t>Žinių visuomenės, kultūrinio ir sportinio aktyvumo skatinimo programa</t>
  </si>
  <si>
    <t>Kupiškio r. Subačiaus  gimnazija</t>
  </si>
  <si>
    <t>Kupiškio r. Antašavos mokykla-daugiafunkcis centras</t>
  </si>
  <si>
    <t>Kupiškio r. Rudilių Jono Laužiko universalus daugiafunkcis centras</t>
  </si>
  <si>
    <t>Kupiškio r. Adomynės mokykla-daugiafunckis centras</t>
  </si>
  <si>
    <t>Europos Sąjungos finansinės paramos lėšos</t>
  </si>
  <si>
    <t>VB</t>
  </si>
  <si>
    <t>Valstybės biudžeto lėšos</t>
  </si>
  <si>
    <t>Kupiškio r. Šimonių pagrindinė mokykla</t>
  </si>
  <si>
    <t>Kupiškio r. Salamiesčio pagrindinė mokykla</t>
  </si>
  <si>
    <t>Finansa-vimo šaltinis</t>
  </si>
  <si>
    <t>Kupiškio r. Šepetos Almos Adamkienės pagrindinė mokykla</t>
  </si>
  <si>
    <t>Kupiškio r. Subačiaus vaikų lopšelis-darželis</t>
  </si>
  <si>
    <t>IŠ VISO IŠLAIDŲ</t>
  </si>
  <si>
    <t>Ugdymo reikmėms finansuoti</t>
  </si>
  <si>
    <t>PATVIRTINTA</t>
  </si>
  <si>
    <t>iš jų: Dalyvaujamasis biudžetas</t>
  </si>
  <si>
    <t>2021 m. vasario 25 d. sprendimu Nr. TS-39</t>
  </si>
  <si>
    <t xml:space="preserve">KUPIŠKIO RAJONO SAVIVALDYBĖS 2021 METŲ BIUDŽETO ASIGNAVIMAI  PAGAL ASIGNAVIMŲ VALDYTOJUS IR  LĖŠŲ ŠALTINIUS </t>
  </si>
  <si>
    <t>(2021 m. rugpjūčio   d. sprendimo Nr. TS-   redakcija)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</si>
</sst>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 applyProtection="1">
      <alignment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4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left" vertical="center" wrapText="1"/>
    </xf>
    <xf numFmtId="3" fontId="4" fillId="0" borderId="8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3" fontId="4" fillId="0" borderId="5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4" fillId="0" borderId="8" xfId="0" applyNumberFormat="1" applyFont="1" applyFill="1" applyBorder="1" applyAlignment="1" applyProtection="1">
      <alignment vertical="center" wrapText="1"/>
    </xf>
    <xf numFmtId="3" fontId="4" fillId="0" borderId="11" xfId="0" applyNumberFormat="1" applyFont="1" applyFill="1" applyBorder="1" applyAlignment="1" applyProtection="1">
      <alignment horizontal="left" vertical="center" wrapText="1"/>
    </xf>
    <xf numFmtId="3" fontId="4" fillId="3" borderId="3" xfId="0" applyNumberFormat="1" applyFont="1" applyFill="1" applyBorder="1" applyAlignment="1" applyProtection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1" fontId="4" fillId="3" borderId="3" xfId="0" applyNumberFormat="1" applyFont="1" applyFill="1" applyBorder="1" applyAlignment="1" applyProtection="1">
      <alignment horizontal="right" vertical="center" wrapText="1"/>
    </xf>
    <xf numFmtId="1" fontId="4" fillId="3" borderId="3" xfId="0" applyNumberFormat="1" applyFont="1" applyFill="1" applyBorder="1" applyAlignment="1">
      <alignment horizontal="right" vertical="center"/>
    </xf>
  </cellXfs>
  <cellStyles count="1">
    <cellStyle name="Paprastas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Normal="100" workbookViewId="0">
      <pane ySplit="11" topLeftCell="A290" activePane="bottomLeft" state="frozen"/>
      <selection pane="bottomLeft" activeCell="B312" sqref="B312:B314"/>
    </sheetView>
  </sheetViews>
  <sheetFormatPr defaultColWidth="8.88671875" defaultRowHeight="13.8"/>
  <cols>
    <col min="1" max="1" width="10.6640625" style="7" customWidth="1"/>
    <col min="2" max="2" width="36.109375" style="3" customWidth="1"/>
    <col min="3" max="3" width="6.88671875" style="7" customWidth="1"/>
    <col min="4" max="5" width="13.109375" style="7" hidden="1" customWidth="1"/>
    <col min="6" max="6" width="13.5546875" style="7" hidden="1" customWidth="1"/>
    <col min="7" max="7" width="10.88671875" style="7" hidden="1" customWidth="1"/>
    <col min="8" max="8" width="11.33203125" style="6" customWidth="1"/>
    <col min="9" max="10" width="11.109375" style="8" customWidth="1"/>
    <col min="11" max="11" width="10" style="8" customWidth="1"/>
    <col min="12" max="16384" width="8.88671875" style="3"/>
  </cols>
  <sheetData>
    <row r="1" spans="1:13">
      <c r="C1" s="57" t="s">
        <v>93</v>
      </c>
    </row>
    <row r="2" spans="1:13">
      <c r="C2" s="1" t="s">
        <v>28</v>
      </c>
      <c r="H2" s="1"/>
      <c r="I2" s="3"/>
      <c r="J2" s="3"/>
    </row>
    <row r="3" spans="1:13">
      <c r="C3" s="1" t="s">
        <v>95</v>
      </c>
      <c r="H3" s="1"/>
      <c r="I3" s="3"/>
      <c r="J3" s="3"/>
    </row>
    <row r="4" spans="1:13" ht="13.95" customHeight="1">
      <c r="C4" s="95" t="s">
        <v>97</v>
      </c>
      <c r="D4" s="95"/>
      <c r="E4" s="95"/>
      <c r="F4" s="95"/>
      <c r="G4" s="95"/>
      <c r="H4" s="95"/>
      <c r="I4" s="95"/>
      <c r="J4" s="95"/>
      <c r="K4" s="95"/>
    </row>
    <row r="5" spans="1:13" ht="13.95" customHeight="1">
      <c r="C5" s="1" t="s">
        <v>29</v>
      </c>
      <c r="H5" s="1"/>
      <c r="I5" s="3"/>
      <c r="J5" s="3"/>
    </row>
    <row r="6" spans="1:13" ht="13.95" customHeight="1">
      <c r="C6" s="1"/>
      <c r="H6" s="3"/>
    </row>
    <row r="7" spans="1:13" ht="39" customHeight="1">
      <c r="A7" s="82" t="s">
        <v>96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2"/>
      <c r="M7" s="2"/>
    </row>
    <row r="8" spans="1:13" ht="16.2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9" t="s">
        <v>74</v>
      </c>
      <c r="L8" s="2"/>
      <c r="M8" s="2"/>
    </row>
    <row r="9" spans="1:13" ht="14.25" customHeight="1">
      <c r="A9" s="83" t="s">
        <v>2</v>
      </c>
      <c r="B9" s="83" t="s">
        <v>33</v>
      </c>
      <c r="C9" s="84" t="s">
        <v>88</v>
      </c>
      <c r="D9" s="85" t="s">
        <v>30</v>
      </c>
      <c r="E9" s="85" t="s">
        <v>0</v>
      </c>
      <c r="F9" s="85"/>
      <c r="G9" s="85" t="s">
        <v>1</v>
      </c>
      <c r="H9" s="85" t="s">
        <v>30</v>
      </c>
      <c r="I9" s="85" t="s">
        <v>0</v>
      </c>
      <c r="J9" s="85"/>
      <c r="K9" s="85" t="s">
        <v>1</v>
      </c>
    </row>
    <row r="10" spans="1:13" ht="30" customHeight="1">
      <c r="A10" s="83"/>
      <c r="B10" s="83"/>
      <c r="C10" s="84"/>
      <c r="D10" s="85"/>
      <c r="E10" s="56" t="s">
        <v>31</v>
      </c>
      <c r="F10" s="56" t="s">
        <v>32</v>
      </c>
      <c r="G10" s="85"/>
      <c r="H10" s="85"/>
      <c r="I10" s="56" t="s">
        <v>31</v>
      </c>
      <c r="J10" s="56" t="s">
        <v>32</v>
      </c>
      <c r="K10" s="85"/>
    </row>
    <row r="11" spans="1:13" ht="16.95" customHeight="1">
      <c r="A11" s="55">
        <v>1</v>
      </c>
      <c r="B11" s="55">
        <v>2</v>
      </c>
      <c r="C11" s="19">
        <v>3</v>
      </c>
      <c r="D11" s="56">
        <v>4</v>
      </c>
      <c r="E11" s="56">
        <v>5</v>
      </c>
      <c r="F11" s="56">
        <v>6</v>
      </c>
      <c r="G11" s="56">
        <v>7</v>
      </c>
      <c r="H11" s="56">
        <v>4</v>
      </c>
      <c r="I11" s="56">
        <v>5</v>
      </c>
      <c r="J11" s="56">
        <v>6</v>
      </c>
      <c r="K11" s="56">
        <v>7</v>
      </c>
    </row>
    <row r="12" spans="1:13" ht="30" customHeight="1">
      <c r="A12" s="71" t="s">
        <v>12</v>
      </c>
      <c r="B12" s="71"/>
      <c r="C12" s="72"/>
      <c r="D12" s="10">
        <f>E12+G12</f>
        <v>4576568</v>
      </c>
      <c r="E12" s="10">
        <f>E13+E18+E26+E31+E37</f>
        <v>3698477</v>
      </c>
      <c r="F12" s="10">
        <f>F13+F18+F26+F31+F37</f>
        <v>1073230</v>
      </c>
      <c r="G12" s="10">
        <f>G13+G18+G26+G31+G37</f>
        <v>878091</v>
      </c>
      <c r="H12" s="45">
        <f t="shared" ref="H12:H19" si="0">I12+K12</f>
        <v>10558990</v>
      </c>
      <c r="I12" s="37">
        <f>I13+I18+I26+I31+I37</f>
        <v>6474331</v>
      </c>
      <c r="J12" s="37">
        <f>J13+J18+J26+J31+J37</f>
        <v>2361937</v>
      </c>
      <c r="K12" s="37">
        <f>K13+K18+K26+K31+K37</f>
        <v>4084659</v>
      </c>
    </row>
    <row r="13" spans="1:13" ht="19.95" customHeight="1">
      <c r="A13" s="69">
        <v>1</v>
      </c>
      <c r="B13" s="70" t="s">
        <v>78</v>
      </c>
      <c r="C13" s="20"/>
      <c r="D13" s="11">
        <f>E13+G13</f>
        <v>33466</v>
      </c>
      <c r="E13" s="12">
        <f>SUM(E14:E17)</f>
        <v>33466</v>
      </c>
      <c r="F13" s="12">
        <f>SUM(F14:F17)</f>
        <v>7080</v>
      </c>
      <c r="G13" s="12">
        <f>SUM(G14:G17)</f>
        <v>0</v>
      </c>
      <c r="H13" s="36">
        <f t="shared" si="0"/>
        <v>303329</v>
      </c>
      <c r="I13" s="38">
        <f>SUM(I14:I17)</f>
        <v>303329</v>
      </c>
      <c r="J13" s="38">
        <f>SUM(J14:J17)</f>
        <v>20165</v>
      </c>
      <c r="K13" s="38">
        <f>SUM(K14:K17)</f>
        <v>0</v>
      </c>
    </row>
    <row r="14" spans="1:13" ht="19.95" customHeight="1">
      <c r="A14" s="69"/>
      <c r="B14" s="70"/>
      <c r="C14" s="20" t="s">
        <v>3</v>
      </c>
      <c r="D14" s="13">
        <f>E14+G14</f>
        <v>33466</v>
      </c>
      <c r="E14" s="14">
        <v>33466</v>
      </c>
      <c r="F14" s="14">
        <v>7080</v>
      </c>
      <c r="G14" s="14"/>
      <c r="H14" s="34">
        <f t="shared" si="0"/>
        <v>162960</v>
      </c>
      <c r="I14" s="35">
        <v>162960</v>
      </c>
      <c r="J14" s="35">
        <v>17700</v>
      </c>
      <c r="K14" s="35">
        <v>0</v>
      </c>
    </row>
    <row r="15" spans="1:13" ht="19.95" customHeight="1">
      <c r="A15" s="69"/>
      <c r="B15" s="70"/>
      <c r="C15" s="20" t="s">
        <v>77</v>
      </c>
      <c r="D15" s="13"/>
      <c r="E15" s="14"/>
      <c r="F15" s="14"/>
      <c r="G15" s="14"/>
      <c r="H15" s="34">
        <f t="shared" si="0"/>
        <v>5070</v>
      </c>
      <c r="I15" s="35">
        <v>5070</v>
      </c>
      <c r="J15" s="35">
        <v>0</v>
      </c>
      <c r="K15" s="35">
        <v>0</v>
      </c>
    </row>
    <row r="16" spans="1:13" ht="19.95" customHeight="1">
      <c r="A16" s="69"/>
      <c r="B16" s="70"/>
      <c r="C16" s="20" t="s">
        <v>11</v>
      </c>
      <c r="D16" s="13"/>
      <c r="E16" s="14"/>
      <c r="F16" s="14"/>
      <c r="G16" s="14"/>
      <c r="H16" s="34">
        <f t="shared" ref="H16" si="1">I16+K16</f>
        <v>59244</v>
      </c>
      <c r="I16" s="35">
        <v>59244</v>
      </c>
      <c r="J16" s="35">
        <v>2465</v>
      </c>
      <c r="K16" s="35">
        <v>0</v>
      </c>
    </row>
    <row r="17" spans="1:11" ht="19.95" customHeight="1">
      <c r="A17" s="69"/>
      <c r="B17" s="70"/>
      <c r="C17" s="20" t="s">
        <v>10</v>
      </c>
      <c r="D17" s="13">
        <v>0</v>
      </c>
      <c r="E17" s="14">
        <v>0</v>
      </c>
      <c r="F17" s="14"/>
      <c r="G17" s="14"/>
      <c r="H17" s="34">
        <f t="shared" si="0"/>
        <v>76055</v>
      </c>
      <c r="I17" s="35">
        <f>2720+73335</f>
        <v>76055</v>
      </c>
      <c r="J17" s="35">
        <v>0</v>
      </c>
      <c r="K17" s="35">
        <v>0</v>
      </c>
    </row>
    <row r="18" spans="1:11" ht="18" customHeight="1">
      <c r="A18" s="69">
        <v>2</v>
      </c>
      <c r="B18" s="70" t="s">
        <v>24</v>
      </c>
      <c r="C18" s="20"/>
      <c r="D18" s="11">
        <f>E18+G18</f>
        <v>1174592</v>
      </c>
      <c r="E18" s="12">
        <f>SUM(E19:E25)</f>
        <v>310132</v>
      </c>
      <c r="F18" s="12">
        <f>SUM(F19:F25)</f>
        <v>20273</v>
      </c>
      <c r="G18" s="12">
        <f>SUM(G19:G25)</f>
        <v>864460</v>
      </c>
      <c r="H18" s="36">
        <f t="shared" si="0"/>
        <v>3844777</v>
      </c>
      <c r="I18" s="38">
        <f>SUM(I19:I25)</f>
        <v>400885</v>
      </c>
      <c r="J18" s="38">
        <f>SUM(J19:J25)</f>
        <v>17541</v>
      </c>
      <c r="K18" s="38">
        <f>SUM(K19:K25)</f>
        <v>3443892</v>
      </c>
    </row>
    <row r="19" spans="1:11" ht="18" customHeight="1">
      <c r="A19" s="69"/>
      <c r="B19" s="70"/>
      <c r="C19" s="20" t="s">
        <v>3</v>
      </c>
      <c r="D19" s="13">
        <f>E19+G19</f>
        <v>43102</v>
      </c>
      <c r="E19" s="14">
        <v>43102</v>
      </c>
      <c r="F19" s="14">
        <v>20273</v>
      </c>
      <c r="G19" s="14"/>
      <c r="H19" s="34">
        <f t="shared" si="0"/>
        <v>625154</v>
      </c>
      <c r="I19" s="35">
        <f>15000+50000+2000+900+40000+10000+500+1725+800+1860-500+1250</f>
        <v>123535</v>
      </c>
      <c r="J19" s="35">
        <v>1700</v>
      </c>
      <c r="K19" s="35">
        <f>22810+60700+47200+23000+2740+1710+29710+42004+100000+100000+800+2000+11800+19025+22200+10000+6670+500-1250</f>
        <v>501619</v>
      </c>
    </row>
    <row r="20" spans="1:11" ht="18" customHeight="1">
      <c r="A20" s="69"/>
      <c r="B20" s="70"/>
      <c r="C20" s="20" t="s">
        <v>8</v>
      </c>
      <c r="D20" s="13">
        <f t="shared" ref="D20:D28" si="2">E20+G20</f>
        <v>267030</v>
      </c>
      <c r="E20" s="14">
        <v>267030</v>
      </c>
      <c r="F20" s="14">
        <v>0</v>
      </c>
      <c r="G20" s="14">
        <v>0</v>
      </c>
      <c r="H20" s="34">
        <f t="shared" ref="H20:H29" si="3">I20+K20</f>
        <v>201000</v>
      </c>
      <c r="I20" s="35">
        <v>201000</v>
      </c>
      <c r="J20" s="35">
        <v>0</v>
      </c>
      <c r="K20" s="35">
        <v>0</v>
      </c>
    </row>
    <row r="21" spans="1:11" ht="18" customHeight="1">
      <c r="A21" s="69"/>
      <c r="B21" s="70"/>
      <c r="C21" s="20" t="s">
        <v>9</v>
      </c>
      <c r="D21" s="13">
        <f t="shared" si="2"/>
        <v>217215</v>
      </c>
      <c r="E21" s="14"/>
      <c r="F21" s="14"/>
      <c r="G21" s="14">
        <v>217215</v>
      </c>
      <c r="H21" s="34">
        <f t="shared" si="3"/>
        <v>965000</v>
      </c>
      <c r="I21" s="35">
        <v>0</v>
      </c>
      <c r="J21" s="35">
        <v>0</v>
      </c>
      <c r="K21" s="35">
        <v>965000</v>
      </c>
    </row>
    <row r="22" spans="1:11" ht="18" customHeight="1">
      <c r="A22" s="69"/>
      <c r="B22" s="70"/>
      <c r="C22" s="20" t="s">
        <v>77</v>
      </c>
      <c r="D22" s="13"/>
      <c r="E22" s="14"/>
      <c r="F22" s="14"/>
      <c r="G22" s="14"/>
      <c r="H22" s="34">
        <f t="shared" ref="H22:H23" si="4">I22+K22</f>
        <v>1086829</v>
      </c>
      <c r="I22" s="35">
        <v>75295</v>
      </c>
      <c r="J22" s="35">
        <f>2464+3415+3580+3500+1900</f>
        <v>14859</v>
      </c>
      <c r="K22" s="35">
        <v>1011534</v>
      </c>
    </row>
    <row r="23" spans="1:11" ht="18" customHeight="1">
      <c r="A23" s="69"/>
      <c r="B23" s="70"/>
      <c r="C23" s="20" t="s">
        <v>84</v>
      </c>
      <c r="D23" s="13"/>
      <c r="E23" s="14"/>
      <c r="F23" s="14"/>
      <c r="G23" s="14"/>
      <c r="H23" s="34">
        <f t="shared" si="4"/>
        <v>57779</v>
      </c>
      <c r="I23" s="35">
        <v>1055</v>
      </c>
      <c r="J23" s="35">
        <f>412+570</f>
        <v>982</v>
      </c>
      <c r="K23" s="35">
        <f>5380+1317+14025+19307+16200+495</f>
        <v>56724</v>
      </c>
    </row>
    <row r="24" spans="1:11" ht="18" customHeight="1">
      <c r="A24" s="69"/>
      <c r="B24" s="70"/>
      <c r="C24" s="20" t="s">
        <v>11</v>
      </c>
      <c r="D24" s="13"/>
      <c r="E24" s="14"/>
      <c r="F24" s="14"/>
      <c r="G24" s="14"/>
      <c r="H24" s="34">
        <f t="shared" ref="H24" si="5">I24+K24</f>
        <v>9015</v>
      </c>
      <c r="I24" s="35">
        <f>18208-18208</f>
        <v>0</v>
      </c>
      <c r="J24" s="35">
        <v>0</v>
      </c>
      <c r="K24" s="35">
        <v>9015</v>
      </c>
    </row>
    <row r="25" spans="1:11" ht="18" customHeight="1">
      <c r="A25" s="69"/>
      <c r="B25" s="70"/>
      <c r="C25" s="20" t="s">
        <v>7</v>
      </c>
      <c r="D25" s="13">
        <f t="shared" si="2"/>
        <v>647245</v>
      </c>
      <c r="E25" s="14"/>
      <c r="F25" s="14"/>
      <c r="G25" s="14">
        <v>647245</v>
      </c>
      <c r="H25" s="34">
        <f t="shared" si="3"/>
        <v>900000</v>
      </c>
      <c r="I25" s="35">
        <v>0</v>
      </c>
      <c r="J25" s="35">
        <v>0</v>
      </c>
      <c r="K25" s="35">
        <v>900000</v>
      </c>
    </row>
    <row r="26" spans="1:11" ht="19.95" customHeight="1">
      <c r="A26" s="69">
        <v>3</v>
      </c>
      <c r="B26" s="70" t="s">
        <v>25</v>
      </c>
      <c r="C26" s="20"/>
      <c r="D26" s="11">
        <f t="shared" si="2"/>
        <v>1115861</v>
      </c>
      <c r="E26" s="12">
        <f>SUM(E27:E30)</f>
        <v>1112994</v>
      </c>
      <c r="F26" s="12">
        <f>SUM(F27:F30)</f>
        <v>41155</v>
      </c>
      <c r="G26" s="12">
        <f>SUM(G27:G30)</f>
        <v>2867</v>
      </c>
      <c r="H26" s="36">
        <f t="shared" si="3"/>
        <v>2535246</v>
      </c>
      <c r="I26" s="38">
        <f>SUM(I27:I30)</f>
        <v>1933988</v>
      </c>
      <c r="J26" s="38">
        <f>SUM(J27:J30)</f>
        <v>150900</v>
      </c>
      <c r="K26" s="38">
        <f>SUM(K27:K30)</f>
        <v>601258</v>
      </c>
    </row>
    <row r="27" spans="1:11" ht="19.95" customHeight="1">
      <c r="A27" s="69"/>
      <c r="B27" s="70"/>
      <c r="C27" s="20" t="s">
        <v>3</v>
      </c>
      <c r="D27" s="13">
        <f t="shared" si="2"/>
        <v>750091</v>
      </c>
      <c r="E27" s="14">
        <v>747224</v>
      </c>
      <c r="F27" s="14">
        <v>39351</v>
      </c>
      <c r="G27" s="14">
        <v>2867</v>
      </c>
      <c r="H27" s="34">
        <f t="shared" si="3"/>
        <v>1145816</v>
      </c>
      <c r="I27" s="35">
        <f>90000+50000+212740+20000+144000+16480+14553+5000+170000+25000+190550+40000+20000+50000-3000-765</f>
        <v>1044558</v>
      </c>
      <c r="J27" s="35">
        <f>16100+128800+4850+1150</f>
        <v>150900</v>
      </c>
      <c r="K27" s="35">
        <v>101258</v>
      </c>
    </row>
    <row r="28" spans="1:11" ht="19.95" customHeight="1">
      <c r="A28" s="69"/>
      <c r="B28" s="70"/>
      <c r="C28" s="20" t="s">
        <v>6</v>
      </c>
      <c r="D28" s="13">
        <f t="shared" si="2"/>
        <v>355298</v>
      </c>
      <c r="E28" s="14">
        <v>355298</v>
      </c>
      <c r="F28" s="14"/>
      <c r="G28" s="14"/>
      <c r="H28" s="34">
        <f t="shared" si="3"/>
        <v>508283</v>
      </c>
      <c r="I28" s="35">
        <f>410000+22948+75335</f>
        <v>508283</v>
      </c>
      <c r="J28" s="35">
        <v>0</v>
      </c>
      <c r="K28" s="35">
        <v>0</v>
      </c>
    </row>
    <row r="29" spans="1:11" ht="19.95" customHeight="1">
      <c r="A29" s="69"/>
      <c r="B29" s="70"/>
      <c r="C29" s="20" t="s">
        <v>11</v>
      </c>
      <c r="D29" s="13"/>
      <c r="E29" s="14"/>
      <c r="F29" s="14"/>
      <c r="G29" s="14"/>
      <c r="H29" s="34">
        <f t="shared" si="3"/>
        <v>861900</v>
      </c>
      <c r="I29" s="35">
        <v>361900</v>
      </c>
      <c r="J29" s="35">
        <v>0</v>
      </c>
      <c r="K29" s="35">
        <v>500000</v>
      </c>
    </row>
    <row r="30" spans="1:11" ht="19.95" customHeight="1">
      <c r="A30" s="69"/>
      <c r="B30" s="70"/>
      <c r="C30" s="20" t="s">
        <v>5</v>
      </c>
      <c r="D30" s="13">
        <f t="shared" ref="D30:D50" si="6">E30+G30</f>
        <v>10472</v>
      </c>
      <c r="E30" s="14">
        <v>10472</v>
      </c>
      <c r="F30" s="14">
        <v>1804</v>
      </c>
      <c r="G30" s="14"/>
      <c r="H30" s="34">
        <f t="shared" ref="H30:H50" si="7">I30+K30</f>
        <v>19247</v>
      </c>
      <c r="I30" s="35">
        <f>2321+16926</f>
        <v>19247</v>
      </c>
      <c r="J30" s="35">
        <v>0</v>
      </c>
      <c r="K30" s="35">
        <v>0</v>
      </c>
    </row>
    <row r="31" spans="1:11" ht="18" customHeight="1">
      <c r="A31" s="69">
        <v>4</v>
      </c>
      <c r="B31" s="70" t="s">
        <v>26</v>
      </c>
      <c r="C31" s="20"/>
      <c r="D31" s="11">
        <f t="shared" si="6"/>
        <v>657397</v>
      </c>
      <c r="E31" s="12">
        <f>SUM(E32:E36)</f>
        <v>653169</v>
      </c>
      <c r="F31" s="12">
        <f>SUM(F32:F36)</f>
        <v>166095</v>
      </c>
      <c r="G31" s="12">
        <f>SUM(G32:G36)</f>
        <v>4228</v>
      </c>
      <c r="H31" s="36">
        <f t="shared" si="7"/>
        <v>1225492</v>
      </c>
      <c r="I31" s="38">
        <f>SUM(I32:I36)</f>
        <v>1225492</v>
      </c>
      <c r="J31" s="38">
        <f>SUM(J32:J36)</f>
        <v>248070</v>
      </c>
      <c r="K31" s="38">
        <f>SUM(K32:K36)</f>
        <v>0</v>
      </c>
    </row>
    <row r="32" spans="1:11" ht="18" customHeight="1">
      <c r="A32" s="69"/>
      <c r="B32" s="70"/>
      <c r="C32" s="20" t="s">
        <v>3</v>
      </c>
      <c r="D32" s="13">
        <f t="shared" si="6"/>
        <v>528324</v>
      </c>
      <c r="E32" s="14">
        <v>524096</v>
      </c>
      <c r="F32" s="14">
        <v>87205</v>
      </c>
      <c r="G32" s="14">
        <v>4228</v>
      </c>
      <c r="H32" s="34">
        <f t="shared" si="7"/>
        <v>689000</v>
      </c>
      <c r="I32" s="35">
        <v>689000</v>
      </c>
      <c r="J32" s="35">
        <f>85500+127300</f>
        <v>212800</v>
      </c>
      <c r="K32" s="35">
        <v>0</v>
      </c>
    </row>
    <row r="33" spans="1:11" ht="18" customHeight="1">
      <c r="A33" s="69"/>
      <c r="B33" s="70"/>
      <c r="C33" s="20" t="s">
        <v>8</v>
      </c>
      <c r="D33" s="13">
        <f t="shared" si="6"/>
        <v>119869</v>
      </c>
      <c r="E33" s="14">
        <v>119869</v>
      </c>
      <c r="F33" s="14">
        <v>78890</v>
      </c>
      <c r="G33" s="14"/>
      <c r="H33" s="34">
        <f t="shared" si="7"/>
        <v>347830</v>
      </c>
      <c r="I33" s="35">
        <f>5500+75800+48700+31600+2500+12200+3500+120400+6420+39210+2000</f>
        <v>347830</v>
      </c>
      <c r="J33" s="35">
        <f>5420+2260+12030+3450+6300+1970</f>
        <v>31430</v>
      </c>
      <c r="K33" s="35">
        <v>0</v>
      </c>
    </row>
    <row r="34" spans="1:11" ht="18" customHeight="1">
      <c r="A34" s="69"/>
      <c r="B34" s="70"/>
      <c r="C34" s="20" t="s">
        <v>11</v>
      </c>
      <c r="D34" s="13"/>
      <c r="E34" s="14"/>
      <c r="F34" s="14"/>
      <c r="G34" s="14"/>
      <c r="H34" s="34">
        <f t="shared" ref="H34" si="8">I34+K34</f>
        <v>145686</v>
      </c>
      <c r="I34" s="35">
        <v>145686</v>
      </c>
      <c r="J34" s="35">
        <v>3840</v>
      </c>
      <c r="K34" s="35">
        <v>0</v>
      </c>
    </row>
    <row r="35" spans="1:11" ht="18" customHeight="1">
      <c r="A35" s="69"/>
      <c r="B35" s="70"/>
      <c r="C35" s="20" t="s">
        <v>5</v>
      </c>
      <c r="D35" s="13">
        <f t="shared" si="6"/>
        <v>0</v>
      </c>
      <c r="E35" s="14"/>
      <c r="F35" s="14"/>
      <c r="G35" s="14"/>
      <c r="H35" s="34">
        <f t="shared" si="7"/>
        <v>23597</v>
      </c>
      <c r="I35" s="35">
        <v>23597</v>
      </c>
      <c r="J35" s="35">
        <v>0</v>
      </c>
      <c r="K35" s="35">
        <v>0</v>
      </c>
    </row>
    <row r="36" spans="1:11" ht="18" customHeight="1">
      <c r="A36" s="69"/>
      <c r="B36" s="70"/>
      <c r="C36" s="20" t="s">
        <v>6</v>
      </c>
      <c r="D36" s="13">
        <f t="shared" si="6"/>
        <v>9204</v>
      </c>
      <c r="E36" s="14">
        <v>9204</v>
      </c>
      <c r="F36" s="14"/>
      <c r="G36" s="14"/>
      <c r="H36" s="34">
        <f t="shared" si="7"/>
        <v>19379</v>
      </c>
      <c r="I36" s="35">
        <f>21629-2250</f>
        <v>19379</v>
      </c>
      <c r="J36" s="35">
        <v>0</v>
      </c>
      <c r="K36" s="35">
        <v>0</v>
      </c>
    </row>
    <row r="37" spans="1:11" ht="19.95" customHeight="1">
      <c r="A37" s="73">
        <v>5</v>
      </c>
      <c r="B37" s="70" t="s">
        <v>27</v>
      </c>
      <c r="C37" s="20"/>
      <c r="D37" s="11">
        <f t="shared" si="6"/>
        <v>1595252</v>
      </c>
      <c r="E37" s="12">
        <f>SUM(E38:E42)</f>
        <v>1588716</v>
      </c>
      <c r="F37" s="12">
        <f>SUM(F38:F42)</f>
        <v>838627</v>
      </c>
      <c r="G37" s="12">
        <f>SUM(G38:G42)</f>
        <v>6536</v>
      </c>
      <c r="H37" s="36">
        <f t="shared" si="7"/>
        <v>2650146</v>
      </c>
      <c r="I37" s="38">
        <f>SUM(I38:I42)</f>
        <v>2610637</v>
      </c>
      <c r="J37" s="38">
        <f>SUM(J38:J42)</f>
        <v>1925261</v>
      </c>
      <c r="K37" s="38">
        <f>SUM(K38:K42)</f>
        <v>39509</v>
      </c>
    </row>
    <row r="38" spans="1:11" ht="19.95" customHeight="1">
      <c r="A38" s="74"/>
      <c r="B38" s="70"/>
      <c r="C38" s="20" t="s">
        <v>3</v>
      </c>
      <c r="D38" s="13">
        <f t="shared" si="6"/>
        <v>1256325</v>
      </c>
      <c r="E38" s="14">
        <f>1118421+131368</f>
        <v>1249789</v>
      </c>
      <c r="F38" s="14">
        <f>649999+43467</f>
        <v>693466</v>
      </c>
      <c r="G38" s="14">
        <v>6536</v>
      </c>
      <c r="H38" s="34">
        <f t="shared" si="7"/>
        <v>2198890</v>
      </c>
      <c r="I38" s="35">
        <f>148000+5000+1191100+262280+10000+5500+300+2000+30000+40000+700+23500+30000+18940+7000+22000+2500+91930+225140-3000+20000+30000</f>
        <v>2162890</v>
      </c>
      <c r="J38" s="35">
        <f>74800+1043000+214100+23200+16700+83300+207100</f>
        <v>1662200</v>
      </c>
      <c r="K38" s="35">
        <f>20000+10000+6000</f>
        <v>36000</v>
      </c>
    </row>
    <row r="39" spans="1:11" ht="19.95" customHeight="1">
      <c r="A39" s="74"/>
      <c r="B39" s="70"/>
      <c r="C39" s="20" t="s">
        <v>8</v>
      </c>
      <c r="D39" s="13">
        <f t="shared" si="6"/>
        <v>316088</v>
      </c>
      <c r="E39" s="14">
        <v>316088</v>
      </c>
      <c r="F39" s="14">
        <v>145161</v>
      </c>
      <c r="G39" s="14"/>
      <c r="H39" s="34">
        <f t="shared" si="7"/>
        <v>394268</v>
      </c>
      <c r="I39" s="35">
        <f>28500+300+300+15900+8240+20700+3200+9100+15000+5000+86800+3842+150200+18100+811+28275</f>
        <v>394268</v>
      </c>
      <c r="J39" s="35">
        <f>23200+295+295+13700+8122+20400+3155+8000+11000+4030+15900+3670+130200+17300</f>
        <v>259267</v>
      </c>
      <c r="K39" s="35">
        <v>0</v>
      </c>
    </row>
    <row r="40" spans="1:11" ht="19.95" customHeight="1">
      <c r="A40" s="74"/>
      <c r="B40" s="70"/>
      <c r="C40" s="20" t="s">
        <v>11</v>
      </c>
      <c r="D40" s="13"/>
      <c r="E40" s="14"/>
      <c r="F40" s="14"/>
      <c r="G40" s="14"/>
      <c r="H40" s="34">
        <f t="shared" ref="H40" si="9">I40+K40</f>
        <v>23953</v>
      </c>
      <c r="I40" s="35">
        <v>20444</v>
      </c>
      <c r="J40" s="46">
        <v>3794</v>
      </c>
      <c r="K40" s="35">
        <v>3509</v>
      </c>
    </row>
    <row r="41" spans="1:11" ht="19.95" hidden="1" customHeight="1">
      <c r="A41" s="74"/>
      <c r="B41" s="70"/>
      <c r="C41" s="20" t="s">
        <v>77</v>
      </c>
      <c r="D41" s="13"/>
      <c r="E41" s="14"/>
      <c r="F41" s="14"/>
      <c r="G41" s="14"/>
      <c r="H41" s="34">
        <f t="shared" ref="H41" si="10">I41+K41</f>
        <v>0</v>
      </c>
      <c r="I41" s="35"/>
      <c r="J41" s="35"/>
      <c r="K41" s="35"/>
    </row>
    <row r="42" spans="1:11" ht="19.95" customHeight="1">
      <c r="A42" s="75"/>
      <c r="B42" s="70"/>
      <c r="C42" s="20" t="s">
        <v>5</v>
      </c>
      <c r="D42" s="13">
        <f t="shared" si="6"/>
        <v>22839</v>
      </c>
      <c r="E42" s="14">
        <v>22839</v>
      </c>
      <c r="F42" s="14"/>
      <c r="G42" s="14"/>
      <c r="H42" s="34">
        <f t="shared" si="7"/>
        <v>33035</v>
      </c>
      <c r="I42" s="35">
        <v>33035</v>
      </c>
      <c r="J42" s="35">
        <v>0</v>
      </c>
      <c r="K42" s="35">
        <v>0</v>
      </c>
    </row>
    <row r="43" spans="1:11" ht="34.950000000000003" customHeight="1">
      <c r="A43" s="73"/>
      <c r="B43" s="105" t="s">
        <v>75</v>
      </c>
      <c r="C43" s="66" t="s">
        <v>3</v>
      </c>
      <c r="D43" s="106"/>
      <c r="E43" s="107"/>
      <c r="F43" s="107"/>
      <c r="G43" s="107"/>
      <c r="H43" s="108">
        <f t="shared" si="7"/>
        <v>10000</v>
      </c>
      <c r="I43" s="109">
        <v>10000</v>
      </c>
      <c r="J43" s="109">
        <v>0</v>
      </c>
      <c r="K43" s="109">
        <v>0</v>
      </c>
    </row>
    <row r="44" spans="1:11" ht="20.399999999999999" customHeight="1">
      <c r="A44" s="75"/>
      <c r="B44" s="5" t="s">
        <v>76</v>
      </c>
      <c r="C44" s="20" t="s">
        <v>3</v>
      </c>
      <c r="D44" s="13">
        <f t="shared" si="6"/>
        <v>131368</v>
      </c>
      <c r="E44" s="14">
        <v>131368</v>
      </c>
      <c r="F44" s="14">
        <v>43467</v>
      </c>
      <c r="G44" s="14"/>
      <c r="H44" s="34">
        <f t="shared" si="7"/>
        <v>148000</v>
      </c>
      <c r="I44" s="35">
        <v>148000</v>
      </c>
      <c r="J44" s="35">
        <v>74800</v>
      </c>
      <c r="K44" s="35">
        <v>0</v>
      </c>
    </row>
    <row r="45" spans="1:11" ht="21.6" customHeight="1">
      <c r="A45" s="61"/>
      <c r="B45" s="5" t="s">
        <v>94</v>
      </c>
      <c r="C45" s="20" t="s">
        <v>3</v>
      </c>
      <c r="D45" s="13">
        <f t="shared" ref="D45" si="11">E45+G45</f>
        <v>131368</v>
      </c>
      <c r="E45" s="14">
        <v>131368</v>
      </c>
      <c r="F45" s="14">
        <v>43467</v>
      </c>
      <c r="G45" s="14"/>
      <c r="H45" s="34">
        <f t="shared" ref="H45" si="12">I45+K45</f>
        <v>20000</v>
      </c>
      <c r="I45" s="35">
        <v>0</v>
      </c>
      <c r="J45" s="35">
        <v>0</v>
      </c>
      <c r="K45" s="35">
        <v>20000</v>
      </c>
    </row>
    <row r="46" spans="1:11" ht="30" customHeight="1">
      <c r="A46" s="71" t="s">
        <v>39</v>
      </c>
      <c r="B46" s="71"/>
      <c r="C46" s="72"/>
      <c r="D46" s="10">
        <f t="shared" si="6"/>
        <v>1564638</v>
      </c>
      <c r="E46" s="10">
        <f>E47</f>
        <v>1564638</v>
      </c>
      <c r="F46" s="10">
        <f>F47</f>
        <v>0</v>
      </c>
      <c r="G46" s="10">
        <f>G47</f>
        <v>0</v>
      </c>
      <c r="H46" s="37">
        <f t="shared" si="7"/>
        <v>1425530</v>
      </c>
      <c r="I46" s="37">
        <f>I47</f>
        <v>1425530</v>
      </c>
      <c r="J46" s="37">
        <f>J47</f>
        <v>0</v>
      </c>
      <c r="K46" s="37">
        <f>K47</f>
        <v>0</v>
      </c>
    </row>
    <row r="47" spans="1:11" ht="18" hidden="1" customHeight="1">
      <c r="A47" s="67"/>
      <c r="B47" s="67"/>
      <c r="C47" s="68"/>
      <c r="D47" s="11">
        <f t="shared" si="6"/>
        <v>1564638</v>
      </c>
      <c r="E47" s="12">
        <f>SUBTOTAL(9,E48:E50)</f>
        <v>1564638</v>
      </c>
      <c r="F47" s="12">
        <f>SUBTOTAL(9,F48:F50)</f>
        <v>0</v>
      </c>
      <c r="G47" s="12">
        <f>SUBTOTAL(9,G48:G50)</f>
        <v>0</v>
      </c>
      <c r="H47" s="25">
        <f t="shared" si="7"/>
        <v>1425530</v>
      </c>
      <c r="I47" s="17">
        <f>SUBTOTAL(9,I48:I50)</f>
        <v>1425530</v>
      </c>
      <c r="J47" s="17">
        <f>SUBTOTAL(9,J48:J50)</f>
        <v>0</v>
      </c>
      <c r="K47" s="17">
        <f>SUBTOTAL(9,K48:K50)</f>
        <v>0</v>
      </c>
    </row>
    <row r="48" spans="1:11" ht="18" customHeight="1">
      <c r="A48" s="69">
        <v>4</v>
      </c>
      <c r="B48" s="69" t="s">
        <v>26</v>
      </c>
      <c r="C48" s="20" t="s">
        <v>3</v>
      </c>
      <c r="D48" s="13">
        <f t="shared" si="6"/>
        <v>1052822</v>
      </c>
      <c r="E48" s="14">
        <v>1052822</v>
      </c>
      <c r="F48" s="14"/>
      <c r="G48" s="14"/>
      <c r="H48" s="34">
        <f t="shared" si="7"/>
        <v>1007050</v>
      </c>
      <c r="I48" s="35">
        <v>1007050</v>
      </c>
      <c r="J48" s="35">
        <v>0</v>
      </c>
      <c r="K48" s="35">
        <v>0</v>
      </c>
    </row>
    <row r="49" spans="1:11" ht="18" hidden="1" customHeight="1">
      <c r="A49" s="69"/>
      <c r="B49" s="69"/>
      <c r="C49" s="20" t="s">
        <v>11</v>
      </c>
      <c r="D49" s="13"/>
      <c r="E49" s="14"/>
      <c r="F49" s="14"/>
      <c r="G49" s="14"/>
      <c r="H49" s="34">
        <f t="shared" ref="H49" si="13">I49+K49</f>
        <v>0</v>
      </c>
      <c r="I49" s="35"/>
      <c r="J49" s="35">
        <v>0</v>
      </c>
      <c r="K49" s="35">
        <v>0</v>
      </c>
    </row>
    <row r="50" spans="1:11" ht="21" customHeight="1">
      <c r="A50" s="69"/>
      <c r="B50" s="69"/>
      <c r="C50" s="20" t="s">
        <v>8</v>
      </c>
      <c r="D50" s="13">
        <f t="shared" si="6"/>
        <v>511816</v>
      </c>
      <c r="E50" s="14">
        <v>511816</v>
      </c>
      <c r="F50" s="14"/>
      <c r="G50" s="14"/>
      <c r="H50" s="34">
        <f t="shared" si="7"/>
        <v>418480</v>
      </c>
      <c r="I50" s="35">
        <f>259200+121640+35500+80+2060</f>
        <v>418480</v>
      </c>
      <c r="J50" s="35">
        <v>0</v>
      </c>
      <c r="K50" s="35">
        <v>0</v>
      </c>
    </row>
    <row r="51" spans="1:11" ht="25.95" customHeight="1">
      <c r="A51" s="71" t="s">
        <v>43</v>
      </c>
      <c r="B51" s="71"/>
      <c r="C51" s="72"/>
      <c r="D51" s="10">
        <f>E51+G51</f>
        <v>422237</v>
      </c>
      <c r="E51" s="10">
        <f>E52</f>
        <v>421559</v>
      </c>
      <c r="F51" s="10">
        <f>F52</f>
        <v>277626</v>
      </c>
      <c r="G51" s="10">
        <f>G52</f>
        <v>678</v>
      </c>
      <c r="H51" s="37">
        <f t="shared" ref="H51:H56" si="14">I51+K51</f>
        <v>679437</v>
      </c>
      <c r="I51" s="37">
        <f>I52</f>
        <v>679437</v>
      </c>
      <c r="J51" s="37">
        <f>J52</f>
        <v>633890</v>
      </c>
      <c r="K51" s="37">
        <f>K52</f>
        <v>0</v>
      </c>
    </row>
    <row r="52" spans="1:11" ht="15" hidden="1" customHeight="1">
      <c r="A52" s="67"/>
      <c r="B52" s="67"/>
      <c r="C52" s="68"/>
      <c r="D52" s="11">
        <f>E52+G52</f>
        <v>422237</v>
      </c>
      <c r="E52" s="12">
        <f>SUBTOTAL(9,E53:E56)</f>
        <v>421559</v>
      </c>
      <c r="F52" s="12">
        <f>SUBTOTAL(9,F53:F56)</f>
        <v>277626</v>
      </c>
      <c r="G52" s="12">
        <f>SUBTOTAL(9,G53:G56)</f>
        <v>678</v>
      </c>
      <c r="H52" s="36">
        <f t="shared" si="14"/>
        <v>679437</v>
      </c>
      <c r="I52" s="39">
        <f>SUBTOTAL(9,I53:I56)</f>
        <v>679437</v>
      </c>
      <c r="J52" s="39">
        <f>SUBTOTAL(9,J53:J56)</f>
        <v>633890</v>
      </c>
      <c r="K52" s="39">
        <f>SUBTOTAL(9,K53:K56)</f>
        <v>0</v>
      </c>
    </row>
    <row r="53" spans="1:11" ht="18" customHeight="1">
      <c r="A53" s="69">
        <v>5</v>
      </c>
      <c r="B53" s="76" t="s">
        <v>27</v>
      </c>
      <c r="C53" s="20" t="s">
        <v>3</v>
      </c>
      <c r="D53" s="13">
        <f>E53+G53</f>
        <v>17956</v>
      </c>
      <c r="E53" s="14">
        <v>17956</v>
      </c>
      <c r="F53" s="14">
        <v>13052</v>
      </c>
      <c r="G53" s="14"/>
      <c r="H53" s="34">
        <f t="shared" si="14"/>
        <v>11650</v>
      </c>
      <c r="I53" s="35">
        <v>11650</v>
      </c>
      <c r="J53" s="35">
        <v>8450</v>
      </c>
      <c r="K53" s="35">
        <v>0</v>
      </c>
    </row>
    <row r="54" spans="1:11" ht="18" customHeight="1">
      <c r="A54" s="69"/>
      <c r="B54" s="77"/>
      <c r="C54" s="20" t="s">
        <v>8</v>
      </c>
      <c r="D54" s="13">
        <f>E54+G54</f>
        <v>403862</v>
      </c>
      <c r="E54" s="14">
        <v>403184</v>
      </c>
      <c r="F54" s="14">
        <v>264574</v>
      </c>
      <c r="G54" s="14">
        <v>678</v>
      </c>
      <c r="H54" s="34">
        <f t="shared" si="14"/>
        <v>666100</v>
      </c>
      <c r="I54" s="35">
        <v>666100</v>
      </c>
      <c r="J54" s="35">
        <v>625440</v>
      </c>
      <c r="K54" s="35"/>
    </row>
    <row r="55" spans="1:11" ht="18" customHeight="1">
      <c r="A55" s="69"/>
      <c r="B55" s="77"/>
      <c r="C55" s="20" t="s">
        <v>11</v>
      </c>
      <c r="D55" s="13"/>
      <c r="E55" s="14"/>
      <c r="F55" s="14"/>
      <c r="G55" s="14"/>
      <c r="H55" s="34">
        <f t="shared" si="14"/>
        <v>1687</v>
      </c>
      <c r="I55" s="35">
        <v>1687</v>
      </c>
      <c r="J55" s="35">
        <v>0</v>
      </c>
      <c r="K55" s="35">
        <v>0</v>
      </c>
    </row>
    <row r="56" spans="1:11" ht="16.5" hidden="1" customHeight="1">
      <c r="A56" s="69"/>
      <c r="B56" s="78"/>
      <c r="C56" s="20" t="s">
        <v>5</v>
      </c>
      <c r="D56" s="13">
        <f>E56+G56</f>
        <v>419</v>
      </c>
      <c r="E56" s="14">
        <v>419</v>
      </c>
      <c r="F56" s="14"/>
      <c r="G56" s="14"/>
      <c r="H56" s="34">
        <f t="shared" si="14"/>
        <v>0</v>
      </c>
      <c r="I56" s="35"/>
      <c r="J56" s="35"/>
      <c r="K56" s="35">
        <v>0</v>
      </c>
    </row>
    <row r="57" spans="1:11" s="4" customFormat="1" ht="16.5" hidden="1" customHeight="1">
      <c r="A57" s="58"/>
      <c r="B57" s="58"/>
      <c r="C57" s="20"/>
      <c r="D57" s="11"/>
      <c r="E57" s="15"/>
      <c r="F57" s="15"/>
      <c r="G57" s="15"/>
      <c r="H57" s="36"/>
      <c r="I57" s="35"/>
      <c r="J57" s="35"/>
      <c r="K57" s="35"/>
    </row>
    <row r="58" spans="1:11" ht="24" customHeight="1">
      <c r="A58" s="71" t="s">
        <v>44</v>
      </c>
      <c r="B58" s="71"/>
      <c r="C58" s="72"/>
      <c r="D58" s="10">
        <f>E58+G58</f>
        <v>393410</v>
      </c>
      <c r="E58" s="10">
        <f>E59+E60+E66</f>
        <v>391385</v>
      </c>
      <c r="F58" s="10">
        <f>F59+F60+F66</f>
        <v>222121</v>
      </c>
      <c r="G58" s="10">
        <f>G59+G60+G66</f>
        <v>2025</v>
      </c>
      <c r="H58" s="37">
        <f>I58+K58</f>
        <v>810427</v>
      </c>
      <c r="I58" s="37">
        <f>I59+I60+I66</f>
        <v>805212</v>
      </c>
      <c r="J58" s="37">
        <f>J59+J60+J66</f>
        <v>577100</v>
      </c>
      <c r="K58" s="37">
        <f>K59+K60+K66</f>
        <v>5215</v>
      </c>
    </row>
    <row r="59" spans="1:11" ht="27" hidden="1" customHeight="1">
      <c r="A59" s="58">
        <v>2</v>
      </c>
      <c r="B59" s="60" t="s">
        <v>24</v>
      </c>
      <c r="C59" s="20" t="s">
        <v>9</v>
      </c>
      <c r="D59" s="11">
        <f t="shared" ref="D59:D84" si="15">E59+G59</f>
        <v>0</v>
      </c>
      <c r="E59" s="15"/>
      <c r="F59" s="15"/>
      <c r="G59" s="15"/>
      <c r="H59" s="36">
        <f t="shared" ref="H59:H84" si="16">I59+K59</f>
        <v>0</v>
      </c>
      <c r="I59" s="35"/>
      <c r="J59" s="35"/>
      <c r="K59" s="35"/>
    </row>
    <row r="60" spans="1:11" ht="18" customHeight="1">
      <c r="A60" s="73">
        <v>1</v>
      </c>
      <c r="B60" s="76" t="s">
        <v>78</v>
      </c>
      <c r="C60" s="20"/>
      <c r="D60" s="11">
        <f t="shared" si="15"/>
        <v>389797</v>
      </c>
      <c r="E60" s="12">
        <f>SUM(E61:E65)</f>
        <v>387772</v>
      </c>
      <c r="F60" s="12">
        <f>SUM(F61:F65)</f>
        <v>222121</v>
      </c>
      <c r="G60" s="12">
        <f>SUM(G61:G65)</f>
        <v>2025</v>
      </c>
      <c r="H60" s="36">
        <f t="shared" si="16"/>
        <v>808252</v>
      </c>
      <c r="I60" s="38">
        <f>SUM(I61:I65)</f>
        <v>803037</v>
      </c>
      <c r="J60" s="38">
        <f>SUM(J61:J65)</f>
        <v>577100</v>
      </c>
      <c r="K60" s="38">
        <f>SUM(K61:K65)</f>
        <v>5215</v>
      </c>
    </row>
    <row r="61" spans="1:11" ht="18" customHeight="1">
      <c r="A61" s="74"/>
      <c r="B61" s="86"/>
      <c r="C61" s="20" t="s">
        <v>3</v>
      </c>
      <c r="D61" s="13">
        <f t="shared" si="15"/>
        <v>378718</v>
      </c>
      <c r="E61" s="14">
        <f>356820+20320</f>
        <v>377140</v>
      </c>
      <c r="F61" s="14">
        <f>206162+15495</f>
        <v>221657</v>
      </c>
      <c r="G61" s="14">
        <v>1578</v>
      </c>
      <c r="H61" s="34">
        <f t="shared" si="16"/>
        <v>714650</v>
      </c>
      <c r="I61" s="46">
        <f>25000+688450-3030-985</f>
        <v>709435</v>
      </c>
      <c r="J61" s="35">
        <v>564450</v>
      </c>
      <c r="K61" s="35">
        <f>1200+3030+985</f>
        <v>5215</v>
      </c>
    </row>
    <row r="62" spans="1:11" ht="18" hidden="1" customHeight="1">
      <c r="A62" s="74"/>
      <c r="B62" s="86"/>
      <c r="C62" s="20" t="s">
        <v>10</v>
      </c>
      <c r="D62" s="13">
        <f t="shared" si="15"/>
        <v>0</v>
      </c>
      <c r="E62" s="14"/>
      <c r="F62" s="14"/>
      <c r="G62" s="14"/>
      <c r="H62" s="34">
        <f t="shared" si="16"/>
        <v>0</v>
      </c>
      <c r="I62" s="35"/>
      <c r="J62" s="35"/>
      <c r="K62" s="35"/>
    </row>
    <row r="63" spans="1:11" ht="18" customHeight="1">
      <c r="A63" s="74"/>
      <c r="B63" s="86"/>
      <c r="C63" s="20" t="s">
        <v>77</v>
      </c>
      <c r="D63" s="13"/>
      <c r="E63" s="14"/>
      <c r="F63" s="14"/>
      <c r="G63" s="14"/>
      <c r="H63" s="34">
        <f t="shared" si="16"/>
        <v>1222</v>
      </c>
      <c r="I63" s="46">
        <v>1222</v>
      </c>
      <c r="J63" s="35">
        <v>0</v>
      </c>
      <c r="K63" s="35">
        <v>0</v>
      </c>
    </row>
    <row r="64" spans="1:11" ht="18" customHeight="1">
      <c r="A64" s="74"/>
      <c r="B64" s="86"/>
      <c r="C64" s="20" t="s">
        <v>11</v>
      </c>
      <c r="D64" s="13"/>
      <c r="E64" s="14"/>
      <c r="F64" s="14"/>
      <c r="G64" s="14"/>
      <c r="H64" s="48">
        <f t="shared" ref="H64" si="17">I64+K64</f>
        <v>30142</v>
      </c>
      <c r="I64" s="46">
        <f>9790+17556+2796</f>
        <v>30142</v>
      </c>
      <c r="J64" s="46">
        <v>9650</v>
      </c>
      <c r="K64" s="35">
        <v>0</v>
      </c>
    </row>
    <row r="65" spans="1:11" ht="18" customHeight="1">
      <c r="A65" s="75"/>
      <c r="B65" s="87"/>
      <c r="C65" s="20" t="s">
        <v>5</v>
      </c>
      <c r="D65" s="13">
        <f t="shared" si="15"/>
        <v>11079</v>
      </c>
      <c r="E65" s="14">
        <v>10632</v>
      </c>
      <c r="F65" s="14">
        <v>464</v>
      </c>
      <c r="G65" s="14">
        <v>447</v>
      </c>
      <c r="H65" s="48">
        <f t="shared" si="16"/>
        <v>62238</v>
      </c>
      <c r="I65" s="46">
        <v>62238</v>
      </c>
      <c r="J65" s="46">
        <v>3000</v>
      </c>
      <c r="K65" s="35">
        <v>0</v>
      </c>
    </row>
    <row r="66" spans="1:11" ht="30" customHeight="1">
      <c r="A66" s="58">
        <v>5</v>
      </c>
      <c r="B66" s="60" t="s">
        <v>27</v>
      </c>
      <c r="C66" s="20" t="s">
        <v>8</v>
      </c>
      <c r="D66" s="11">
        <f t="shared" si="15"/>
        <v>3613</v>
      </c>
      <c r="E66" s="12">
        <v>3613</v>
      </c>
      <c r="F66" s="15"/>
      <c r="G66" s="15"/>
      <c r="H66" s="49">
        <f t="shared" si="16"/>
        <v>2175</v>
      </c>
      <c r="I66" s="50">
        <v>2175</v>
      </c>
      <c r="J66" s="50">
        <v>0</v>
      </c>
      <c r="K66" s="38">
        <v>0</v>
      </c>
    </row>
    <row r="67" spans="1:11" ht="24" customHeight="1">
      <c r="A67" s="71" t="s">
        <v>45</v>
      </c>
      <c r="B67" s="71"/>
      <c r="C67" s="72"/>
      <c r="D67" s="10">
        <f t="shared" si="15"/>
        <v>327684</v>
      </c>
      <c r="E67" s="10">
        <f>E68+E74</f>
        <v>327684</v>
      </c>
      <c r="F67" s="10">
        <f>F68+F74</f>
        <v>215186</v>
      </c>
      <c r="G67" s="10">
        <f>G68+G74</f>
        <v>0</v>
      </c>
      <c r="H67" s="45">
        <f t="shared" si="16"/>
        <v>594215</v>
      </c>
      <c r="I67" s="45">
        <f>I68+I74+I75</f>
        <v>575138</v>
      </c>
      <c r="J67" s="45">
        <f t="shared" ref="J67:K67" si="18">J68+J74+J75</f>
        <v>497000</v>
      </c>
      <c r="K67" s="45">
        <f t="shared" si="18"/>
        <v>19077</v>
      </c>
    </row>
    <row r="68" spans="1:11" ht="18" customHeight="1">
      <c r="A68" s="69">
        <v>1</v>
      </c>
      <c r="B68" s="76" t="s">
        <v>78</v>
      </c>
      <c r="C68" s="22"/>
      <c r="D68" s="11">
        <f t="shared" si="15"/>
        <v>325886</v>
      </c>
      <c r="E68" s="12">
        <f>E69+E70+E73</f>
        <v>325886</v>
      </c>
      <c r="F68" s="12">
        <f>SUBTOTAL(9,F69:F74)</f>
        <v>215186</v>
      </c>
      <c r="G68" s="12">
        <f>SUBTOTAL(9,G69:G74)</f>
        <v>0</v>
      </c>
      <c r="H68" s="49">
        <f t="shared" si="16"/>
        <v>589215</v>
      </c>
      <c r="I68" s="50">
        <f>I69+I70+I73+I71+I72</f>
        <v>570138</v>
      </c>
      <c r="J68" s="50">
        <f t="shared" ref="J68:K68" si="19">J69+J70+J73+J71+J72</f>
        <v>497000</v>
      </c>
      <c r="K68" s="38">
        <f t="shared" si="19"/>
        <v>19077</v>
      </c>
    </row>
    <row r="69" spans="1:11" ht="18" customHeight="1">
      <c r="A69" s="69"/>
      <c r="B69" s="77"/>
      <c r="C69" s="20" t="s">
        <v>3</v>
      </c>
      <c r="D69" s="13">
        <f t="shared" si="15"/>
        <v>324578</v>
      </c>
      <c r="E69" s="14">
        <f>305608+18970</f>
        <v>324578</v>
      </c>
      <c r="F69" s="14">
        <f>200705+14481</f>
        <v>215186</v>
      </c>
      <c r="G69" s="14"/>
      <c r="H69" s="48">
        <f t="shared" si="16"/>
        <v>557500</v>
      </c>
      <c r="I69" s="46">
        <v>557500</v>
      </c>
      <c r="J69" s="46">
        <v>488300</v>
      </c>
      <c r="K69" s="35">
        <v>0</v>
      </c>
    </row>
    <row r="70" spans="1:11" ht="18" hidden="1" customHeight="1">
      <c r="A70" s="69"/>
      <c r="B70" s="77"/>
      <c r="C70" s="20" t="s">
        <v>10</v>
      </c>
      <c r="D70" s="13">
        <f t="shared" si="15"/>
        <v>0</v>
      </c>
      <c r="E70" s="14"/>
      <c r="F70" s="14"/>
      <c r="G70" s="14"/>
      <c r="H70" s="48">
        <f t="shared" si="16"/>
        <v>0</v>
      </c>
      <c r="I70" s="46"/>
      <c r="J70" s="46"/>
      <c r="K70" s="35"/>
    </row>
    <row r="71" spans="1:11" ht="18" customHeight="1">
      <c r="A71" s="69"/>
      <c r="B71" s="77"/>
      <c r="C71" s="20" t="s">
        <v>77</v>
      </c>
      <c r="D71" s="13"/>
      <c r="E71" s="14"/>
      <c r="F71" s="14"/>
      <c r="G71" s="14"/>
      <c r="H71" s="48">
        <f t="shared" si="16"/>
        <v>156</v>
      </c>
      <c r="I71" s="46">
        <v>156</v>
      </c>
      <c r="J71" s="46">
        <v>0</v>
      </c>
      <c r="K71" s="35">
        <v>0</v>
      </c>
    </row>
    <row r="72" spans="1:11" ht="18" customHeight="1">
      <c r="A72" s="69"/>
      <c r="B72" s="77"/>
      <c r="C72" s="20" t="s">
        <v>11</v>
      </c>
      <c r="D72" s="13"/>
      <c r="E72" s="14"/>
      <c r="F72" s="14"/>
      <c r="G72" s="14"/>
      <c r="H72" s="48">
        <f t="shared" si="16"/>
        <v>29959</v>
      </c>
      <c r="I72" s="46">
        <f>8825+1056+1001</f>
        <v>10882</v>
      </c>
      <c r="J72" s="46">
        <v>8700</v>
      </c>
      <c r="K72" s="35">
        <v>19077</v>
      </c>
    </row>
    <row r="73" spans="1:11" ht="18" customHeight="1">
      <c r="A73" s="69"/>
      <c r="B73" s="78"/>
      <c r="C73" s="20" t="s">
        <v>5</v>
      </c>
      <c r="D73" s="13">
        <f t="shared" si="15"/>
        <v>1308</v>
      </c>
      <c r="E73" s="14">
        <v>1308</v>
      </c>
      <c r="F73" s="14"/>
      <c r="G73" s="14"/>
      <c r="H73" s="48">
        <f t="shared" si="16"/>
        <v>1600</v>
      </c>
      <c r="I73" s="46">
        <v>1600</v>
      </c>
      <c r="J73" s="46">
        <v>0</v>
      </c>
      <c r="K73" s="35">
        <v>0</v>
      </c>
    </row>
    <row r="74" spans="1:11" ht="30" hidden="1" customHeight="1">
      <c r="A74" s="58">
        <v>5</v>
      </c>
      <c r="B74" s="60" t="s">
        <v>27</v>
      </c>
      <c r="C74" s="20" t="s">
        <v>8</v>
      </c>
      <c r="D74" s="11">
        <f t="shared" si="15"/>
        <v>1798</v>
      </c>
      <c r="E74" s="12">
        <v>1798</v>
      </c>
      <c r="F74" s="15"/>
      <c r="G74" s="15"/>
      <c r="H74" s="49">
        <f t="shared" si="16"/>
        <v>0</v>
      </c>
      <c r="I74" s="50">
        <v>0</v>
      </c>
      <c r="J74" s="50">
        <v>0</v>
      </c>
      <c r="K74" s="38">
        <v>0</v>
      </c>
    </row>
    <row r="75" spans="1:11" ht="30" customHeight="1">
      <c r="A75" s="58">
        <v>2</v>
      </c>
      <c r="B75" s="63" t="s">
        <v>24</v>
      </c>
      <c r="C75" s="20" t="s">
        <v>3</v>
      </c>
      <c r="D75" s="11">
        <f t="shared" ref="D75" si="20">E75+G75</f>
        <v>1799</v>
      </c>
      <c r="E75" s="12">
        <v>1799</v>
      </c>
      <c r="F75" s="15"/>
      <c r="G75" s="15"/>
      <c r="H75" s="49">
        <f t="shared" ref="H75" si="21">I75+K75</f>
        <v>5000</v>
      </c>
      <c r="I75" s="50">
        <v>5000</v>
      </c>
      <c r="J75" s="50">
        <v>0</v>
      </c>
      <c r="K75" s="38">
        <v>0</v>
      </c>
    </row>
    <row r="76" spans="1:11" ht="25.2" customHeight="1">
      <c r="A76" s="71" t="s">
        <v>13</v>
      </c>
      <c r="B76" s="71"/>
      <c r="C76" s="72"/>
      <c r="D76" s="10">
        <f t="shared" si="15"/>
        <v>539683</v>
      </c>
      <c r="E76" s="10">
        <f>E78+E84</f>
        <v>539683</v>
      </c>
      <c r="F76" s="10">
        <f>F78</f>
        <v>300273</v>
      </c>
      <c r="G76" s="10">
        <f>G78+G84</f>
        <v>0</v>
      </c>
      <c r="H76" s="45">
        <f t="shared" si="16"/>
        <v>1486403</v>
      </c>
      <c r="I76" s="45">
        <f>I78+I84</f>
        <v>1486403</v>
      </c>
      <c r="J76" s="45">
        <f>J78</f>
        <v>1241565</v>
      </c>
      <c r="K76" s="37">
        <f>K78+K84</f>
        <v>0</v>
      </c>
    </row>
    <row r="77" spans="1:11" ht="15" hidden="1" customHeight="1">
      <c r="A77" s="67"/>
      <c r="B77" s="67"/>
      <c r="C77" s="68"/>
      <c r="D77" s="11">
        <f t="shared" si="15"/>
        <v>539683</v>
      </c>
      <c r="E77" s="12">
        <f>E78+E84</f>
        <v>539683</v>
      </c>
      <c r="F77" s="12">
        <f>SUBTOTAL(9,F78:F84)</f>
        <v>600546</v>
      </c>
      <c r="G77" s="12">
        <f>SUBTOTAL(9,G78:G84)</f>
        <v>0</v>
      </c>
      <c r="H77" s="49">
        <f t="shared" si="16"/>
        <v>1486403</v>
      </c>
      <c r="I77" s="50">
        <f>I78+I84</f>
        <v>1486403</v>
      </c>
      <c r="J77" s="50">
        <f>SUBTOTAL(9,J78:J84)</f>
        <v>2483130</v>
      </c>
      <c r="K77" s="38">
        <f>SUBTOTAL(9,K78:K84)</f>
        <v>0</v>
      </c>
    </row>
    <row r="78" spans="1:11" ht="18" customHeight="1">
      <c r="A78" s="73">
        <v>4</v>
      </c>
      <c r="B78" s="73" t="s">
        <v>26</v>
      </c>
      <c r="C78" s="20"/>
      <c r="D78" s="11">
        <f t="shared" si="15"/>
        <v>536796</v>
      </c>
      <c r="E78" s="12">
        <f>E79+E80+E82</f>
        <v>536796</v>
      </c>
      <c r="F78" s="12">
        <f>F79+F80+F82</f>
        <v>300273</v>
      </c>
      <c r="G78" s="12">
        <f>G79+G80+G82</f>
        <v>0</v>
      </c>
      <c r="H78" s="49">
        <f t="shared" si="16"/>
        <v>1484228</v>
      </c>
      <c r="I78" s="50">
        <f>I79+I80+I82+I81+I83</f>
        <v>1484228</v>
      </c>
      <c r="J78" s="50">
        <f>J79+J80+J82+J81</f>
        <v>1241565</v>
      </c>
      <c r="K78" s="38">
        <f>K79+K80+K82</f>
        <v>0</v>
      </c>
    </row>
    <row r="79" spans="1:11" ht="18" customHeight="1">
      <c r="A79" s="74"/>
      <c r="B79" s="74"/>
      <c r="C79" s="20" t="s">
        <v>3</v>
      </c>
      <c r="D79" s="13">
        <f t="shared" si="15"/>
        <v>256057</v>
      </c>
      <c r="E79" s="14">
        <v>256057</v>
      </c>
      <c r="F79" s="14">
        <v>171658</v>
      </c>
      <c r="G79" s="14"/>
      <c r="H79" s="48">
        <f t="shared" si="16"/>
        <v>836630</v>
      </c>
      <c r="I79" s="46">
        <f>3000+2260+231200+4000+51060+12000+29020+52650+379220+35240+7550+17200+12230</f>
        <v>836630</v>
      </c>
      <c r="J79" s="46">
        <f>210500+14060+25650+41100+360740+24900+7440+17000+12000</f>
        <v>713390</v>
      </c>
      <c r="K79" s="35">
        <v>0</v>
      </c>
    </row>
    <row r="80" spans="1:11" ht="18" customHeight="1">
      <c r="A80" s="74"/>
      <c r="B80" s="74"/>
      <c r="C80" s="20" t="s">
        <v>8</v>
      </c>
      <c r="D80" s="13">
        <f t="shared" si="15"/>
        <v>168414</v>
      </c>
      <c r="E80" s="14">
        <v>168414</v>
      </c>
      <c r="F80" s="14">
        <v>113265</v>
      </c>
      <c r="G80" s="14"/>
      <c r="H80" s="48">
        <f t="shared" si="16"/>
        <v>492000</v>
      </c>
      <c r="I80" s="46">
        <f>148600+338000+5400</f>
        <v>492000</v>
      </c>
      <c r="J80" s="46">
        <f>146475+325200+5300</f>
        <v>476975</v>
      </c>
      <c r="K80" s="35">
        <v>0</v>
      </c>
    </row>
    <row r="81" spans="1:11" ht="18" customHeight="1">
      <c r="A81" s="74"/>
      <c r="B81" s="74"/>
      <c r="C81" s="20" t="s">
        <v>11</v>
      </c>
      <c r="D81" s="13"/>
      <c r="E81" s="14"/>
      <c r="F81" s="14"/>
      <c r="G81" s="14"/>
      <c r="H81" s="48">
        <f t="shared" ref="H81" si="22">I81+K81</f>
        <v>9248</v>
      </c>
      <c r="I81" s="46">
        <v>9248</v>
      </c>
      <c r="J81" s="46">
        <v>7000</v>
      </c>
      <c r="K81" s="35">
        <v>0</v>
      </c>
    </row>
    <row r="82" spans="1:11" ht="18" customHeight="1">
      <c r="A82" s="74"/>
      <c r="B82" s="74"/>
      <c r="C82" s="20" t="s">
        <v>5</v>
      </c>
      <c r="D82" s="13">
        <f t="shared" si="15"/>
        <v>112325</v>
      </c>
      <c r="E82" s="14">
        <v>112325</v>
      </c>
      <c r="F82" s="14">
        <v>15350</v>
      </c>
      <c r="G82" s="14"/>
      <c r="H82" s="48">
        <f t="shared" si="16"/>
        <v>144100</v>
      </c>
      <c r="I82" s="46">
        <f>102600+41500</f>
        <v>144100</v>
      </c>
      <c r="J82" s="46">
        <f>20700+23500</f>
        <v>44200</v>
      </c>
      <c r="K82" s="35">
        <v>0</v>
      </c>
    </row>
    <row r="83" spans="1:11" ht="18" customHeight="1">
      <c r="A83" s="75"/>
      <c r="B83" s="75"/>
      <c r="C83" s="20" t="s">
        <v>6</v>
      </c>
      <c r="D83" s="13"/>
      <c r="E83" s="14"/>
      <c r="F83" s="14"/>
      <c r="G83" s="14"/>
      <c r="H83" s="48">
        <f t="shared" si="16"/>
        <v>2250</v>
      </c>
      <c r="I83" s="46">
        <v>2250</v>
      </c>
      <c r="J83" s="46">
        <v>0</v>
      </c>
      <c r="K83" s="35">
        <v>0</v>
      </c>
    </row>
    <row r="84" spans="1:11" ht="30" customHeight="1">
      <c r="A84" s="58">
        <v>5</v>
      </c>
      <c r="B84" s="60" t="s">
        <v>27</v>
      </c>
      <c r="C84" s="20" t="s">
        <v>8</v>
      </c>
      <c r="D84" s="11">
        <f t="shared" si="15"/>
        <v>2887</v>
      </c>
      <c r="E84" s="12">
        <v>2887</v>
      </c>
      <c r="F84" s="15"/>
      <c r="G84" s="15"/>
      <c r="H84" s="49">
        <f t="shared" si="16"/>
        <v>2175</v>
      </c>
      <c r="I84" s="50">
        <v>2175</v>
      </c>
      <c r="J84" s="50">
        <v>0</v>
      </c>
      <c r="K84" s="38">
        <v>0</v>
      </c>
    </row>
    <row r="85" spans="1:11" ht="30" customHeight="1">
      <c r="A85" s="71" t="s">
        <v>40</v>
      </c>
      <c r="B85" s="71"/>
      <c r="C85" s="72"/>
      <c r="D85" s="10">
        <f t="shared" ref="D85:D98" si="23">E85+G85</f>
        <v>912640</v>
      </c>
      <c r="E85" s="10">
        <f>E87+E89</f>
        <v>103975</v>
      </c>
      <c r="F85" s="10"/>
      <c r="G85" s="10">
        <f>G87+G89</f>
        <v>808665</v>
      </c>
      <c r="H85" s="45">
        <f t="shared" ref="H85:H99" si="24">I85+K85</f>
        <v>694320</v>
      </c>
      <c r="I85" s="45">
        <f>I87+I89+I88</f>
        <v>86340</v>
      </c>
      <c r="J85" s="45">
        <v>0</v>
      </c>
      <c r="K85" s="37">
        <f>K87+K89+K88</f>
        <v>607980</v>
      </c>
    </row>
    <row r="86" spans="1:11" ht="15" hidden="1" customHeight="1">
      <c r="A86" s="58"/>
      <c r="B86" s="60"/>
      <c r="C86" s="20"/>
      <c r="D86" s="11">
        <f t="shared" si="23"/>
        <v>1070359</v>
      </c>
      <c r="E86" s="12">
        <f>SUBTOTAL(9,E87:E89)</f>
        <v>207950</v>
      </c>
      <c r="F86" s="12">
        <f>SUBTOTAL(9,F87:F89)</f>
        <v>0</v>
      </c>
      <c r="G86" s="12">
        <f>SUBTOTAL(9,G87:G89)</f>
        <v>862409</v>
      </c>
      <c r="H86" s="49">
        <f t="shared" si="24"/>
        <v>694320</v>
      </c>
      <c r="I86" s="50">
        <f>SUBTOTAL(9,I87:I89)</f>
        <v>86340</v>
      </c>
      <c r="J86" s="50">
        <f>SUBTOTAL(9,J87:J89)</f>
        <v>0</v>
      </c>
      <c r="K86" s="38">
        <f>SUBTOTAL(9,K87:K89)</f>
        <v>607980</v>
      </c>
    </row>
    <row r="87" spans="1:11" ht="18" customHeight="1">
      <c r="A87" s="69">
        <v>5</v>
      </c>
      <c r="B87" s="70" t="s">
        <v>27</v>
      </c>
      <c r="C87" s="20" t="s">
        <v>3</v>
      </c>
      <c r="D87" s="13">
        <f t="shared" si="23"/>
        <v>157719</v>
      </c>
      <c r="E87" s="14">
        <v>103975</v>
      </c>
      <c r="F87" s="14"/>
      <c r="G87" s="14">
        <v>53744</v>
      </c>
      <c r="H87" s="48">
        <f t="shared" si="24"/>
        <v>694320</v>
      </c>
      <c r="I87" s="46">
        <f>32340+53400+600</f>
        <v>86340</v>
      </c>
      <c r="J87" s="46">
        <v>0</v>
      </c>
      <c r="K87" s="35">
        <v>607980</v>
      </c>
    </row>
    <row r="88" spans="1:11" ht="18" hidden="1" customHeight="1">
      <c r="A88" s="69"/>
      <c r="B88" s="70"/>
      <c r="C88" s="20" t="s">
        <v>11</v>
      </c>
      <c r="D88" s="13">
        <f t="shared" ref="D88" si="25">E88+G88</f>
        <v>157719</v>
      </c>
      <c r="E88" s="14">
        <v>103975</v>
      </c>
      <c r="F88" s="14"/>
      <c r="G88" s="14">
        <v>53744</v>
      </c>
      <c r="H88" s="48">
        <f t="shared" ref="H88" si="26">I88+K88</f>
        <v>0</v>
      </c>
      <c r="I88" s="46">
        <v>0</v>
      </c>
      <c r="J88" s="46">
        <v>0</v>
      </c>
      <c r="K88" s="35"/>
    </row>
    <row r="89" spans="1:11" ht="18" customHeight="1">
      <c r="A89" s="69"/>
      <c r="B89" s="70"/>
      <c r="C89" s="20" t="s">
        <v>8</v>
      </c>
      <c r="D89" s="13">
        <f t="shared" si="23"/>
        <v>754921</v>
      </c>
      <c r="E89" s="14"/>
      <c r="F89" s="14"/>
      <c r="G89" s="14">
        <v>754921</v>
      </c>
      <c r="H89" s="48">
        <f t="shared" si="24"/>
        <v>0</v>
      </c>
      <c r="I89" s="46">
        <f>56900-56900</f>
        <v>0</v>
      </c>
      <c r="J89" s="46">
        <v>0</v>
      </c>
      <c r="K89" s="35">
        <v>0</v>
      </c>
    </row>
    <row r="90" spans="1:11" ht="23.4" customHeight="1">
      <c r="A90" s="71" t="s">
        <v>41</v>
      </c>
      <c r="B90" s="71"/>
      <c r="C90" s="72"/>
      <c r="D90" s="10">
        <f t="shared" si="23"/>
        <v>393348</v>
      </c>
      <c r="E90" s="10">
        <f>E92+E101+E103</f>
        <v>393348</v>
      </c>
      <c r="F90" s="10">
        <f>F92+F101+F103</f>
        <v>245449</v>
      </c>
      <c r="G90" s="10">
        <f>G92+G101+G103</f>
        <v>0</v>
      </c>
      <c r="H90" s="45">
        <f t="shared" si="24"/>
        <v>803092</v>
      </c>
      <c r="I90" s="45">
        <f>I92+I101+I103</f>
        <v>793876</v>
      </c>
      <c r="J90" s="45">
        <f>J92+J101+J103</f>
        <v>646175</v>
      </c>
      <c r="K90" s="37">
        <f>K92+K101+K103+K99</f>
        <v>9216</v>
      </c>
    </row>
    <row r="91" spans="1:11" ht="15" hidden="1" customHeight="1">
      <c r="A91" s="67"/>
      <c r="B91" s="67"/>
      <c r="C91" s="68"/>
      <c r="D91" s="11">
        <f t="shared" si="23"/>
        <v>0</v>
      </c>
      <c r="E91" s="12"/>
      <c r="F91" s="12"/>
      <c r="G91" s="12"/>
      <c r="H91" s="49">
        <f t="shared" si="24"/>
        <v>0</v>
      </c>
      <c r="I91" s="50"/>
      <c r="J91" s="50"/>
      <c r="K91" s="38"/>
    </row>
    <row r="92" spans="1:11" ht="18" customHeight="1">
      <c r="A92" s="69">
        <v>1</v>
      </c>
      <c r="B92" s="70" t="s">
        <v>78</v>
      </c>
      <c r="C92" s="20"/>
      <c r="D92" s="11">
        <f t="shared" si="23"/>
        <v>366591</v>
      </c>
      <c r="E92" s="12">
        <f>E93+E95+E94+E96+E97+E98</f>
        <v>366591</v>
      </c>
      <c r="F92" s="12">
        <f>F93+F95+F94+F96+F97+F98</f>
        <v>229029</v>
      </c>
      <c r="G92" s="12">
        <f>G93+G95+G94+G96+G97+G98</f>
        <v>0</v>
      </c>
      <c r="H92" s="49">
        <f t="shared" si="24"/>
        <v>788691</v>
      </c>
      <c r="I92" s="50">
        <f>I93+I95+I94+I96+I97+I98</f>
        <v>784001</v>
      </c>
      <c r="J92" s="50">
        <f>J93+J95+J94+J96+J97+J98</f>
        <v>646175</v>
      </c>
      <c r="K92" s="38">
        <f>K93+K95+K94+K96+K97+K98</f>
        <v>4690</v>
      </c>
    </row>
    <row r="93" spans="1:11" ht="18" customHeight="1">
      <c r="A93" s="69"/>
      <c r="B93" s="70"/>
      <c r="C93" s="20" t="s">
        <v>3</v>
      </c>
      <c r="D93" s="13">
        <f t="shared" si="23"/>
        <v>190833</v>
      </c>
      <c r="E93" s="14">
        <v>190833</v>
      </c>
      <c r="F93" s="14">
        <v>127433</v>
      </c>
      <c r="G93" s="14"/>
      <c r="H93" s="48">
        <f t="shared" si="24"/>
        <v>393515</v>
      </c>
      <c r="I93" s="46">
        <v>388825</v>
      </c>
      <c r="J93" s="46">
        <v>319877</v>
      </c>
      <c r="K93" s="35">
        <f>990+3700</f>
        <v>4690</v>
      </c>
    </row>
    <row r="94" spans="1:11" ht="18" hidden="1" customHeight="1">
      <c r="A94" s="69"/>
      <c r="B94" s="70"/>
      <c r="C94" s="20" t="s">
        <v>4</v>
      </c>
      <c r="D94" s="13">
        <f t="shared" si="23"/>
        <v>0</v>
      </c>
      <c r="E94" s="14"/>
      <c r="F94" s="14"/>
      <c r="G94" s="14"/>
      <c r="H94" s="48">
        <f>I94+K94</f>
        <v>0</v>
      </c>
      <c r="I94" s="46"/>
      <c r="J94" s="46"/>
      <c r="K94" s="35"/>
    </row>
    <row r="95" spans="1:11" ht="18" customHeight="1">
      <c r="A95" s="69"/>
      <c r="B95" s="70"/>
      <c r="C95" s="20" t="s">
        <v>10</v>
      </c>
      <c r="D95" s="13">
        <f t="shared" si="23"/>
        <v>119051</v>
      </c>
      <c r="E95" s="14">
        <v>119051</v>
      </c>
      <c r="F95" s="14">
        <v>88230</v>
      </c>
      <c r="G95" s="14"/>
      <c r="H95" s="48">
        <f t="shared" si="24"/>
        <v>299425</v>
      </c>
      <c r="I95" s="46">
        <v>299425</v>
      </c>
      <c r="J95" s="46">
        <v>290675</v>
      </c>
      <c r="K95" s="35">
        <v>0</v>
      </c>
    </row>
    <row r="96" spans="1:11" ht="18" customHeight="1">
      <c r="A96" s="69"/>
      <c r="B96" s="70"/>
      <c r="C96" s="20" t="s">
        <v>5</v>
      </c>
      <c r="D96" s="13">
        <f t="shared" si="23"/>
        <v>25776</v>
      </c>
      <c r="E96" s="14">
        <v>25776</v>
      </c>
      <c r="F96" s="14"/>
      <c r="G96" s="14"/>
      <c r="H96" s="48">
        <f t="shared" si="24"/>
        <v>43860</v>
      </c>
      <c r="I96" s="46">
        <v>43860</v>
      </c>
      <c r="J96" s="46">
        <v>95</v>
      </c>
      <c r="K96" s="35">
        <v>0</v>
      </c>
    </row>
    <row r="97" spans="1:11" ht="18" hidden="1" customHeight="1">
      <c r="A97" s="69"/>
      <c r="B97" s="70"/>
      <c r="C97" s="20" t="s">
        <v>5</v>
      </c>
      <c r="D97" s="13">
        <f t="shared" si="23"/>
        <v>0</v>
      </c>
      <c r="E97" s="14"/>
      <c r="F97" s="14"/>
      <c r="G97" s="14"/>
      <c r="H97" s="53">
        <f t="shared" si="24"/>
        <v>0</v>
      </c>
      <c r="I97" s="47"/>
      <c r="J97" s="47"/>
      <c r="K97" s="14"/>
    </row>
    <row r="98" spans="1:11" ht="18" customHeight="1">
      <c r="A98" s="69"/>
      <c r="B98" s="70"/>
      <c r="C98" s="20" t="s">
        <v>11</v>
      </c>
      <c r="D98" s="13">
        <f t="shared" si="23"/>
        <v>30931</v>
      </c>
      <c r="E98" s="14">
        <v>30931</v>
      </c>
      <c r="F98" s="14">
        <v>13366</v>
      </c>
      <c r="G98" s="14"/>
      <c r="H98" s="48">
        <f t="shared" si="24"/>
        <v>51891</v>
      </c>
      <c r="I98" s="46">
        <v>51891</v>
      </c>
      <c r="J98" s="46">
        <v>35528</v>
      </c>
      <c r="K98" s="14">
        <v>0</v>
      </c>
    </row>
    <row r="99" spans="1:11" ht="30" customHeight="1">
      <c r="A99" s="58">
        <v>2</v>
      </c>
      <c r="B99" s="63" t="s">
        <v>24</v>
      </c>
      <c r="C99" s="20" t="s">
        <v>3</v>
      </c>
      <c r="D99" s="13"/>
      <c r="E99" s="14"/>
      <c r="F99" s="14"/>
      <c r="G99" s="14"/>
      <c r="H99" s="49">
        <f t="shared" si="24"/>
        <v>4526</v>
      </c>
      <c r="I99" s="50">
        <v>0</v>
      </c>
      <c r="J99" s="50">
        <v>0</v>
      </c>
      <c r="K99" s="17">
        <v>4526</v>
      </c>
    </row>
    <row r="100" spans="1:11" ht="14.25" hidden="1" customHeight="1">
      <c r="A100" s="69">
        <v>4</v>
      </c>
      <c r="B100" s="76" t="s">
        <v>26</v>
      </c>
      <c r="C100" s="21"/>
      <c r="D100" s="16"/>
      <c r="E100" s="16"/>
      <c r="F100" s="16"/>
      <c r="G100" s="15"/>
      <c r="H100" s="54"/>
      <c r="I100" s="54"/>
      <c r="J100" s="54"/>
      <c r="K100" s="14"/>
    </row>
    <row r="101" spans="1:11" ht="30" customHeight="1">
      <c r="A101" s="69"/>
      <c r="B101" s="77"/>
      <c r="C101" s="20" t="s">
        <v>8</v>
      </c>
      <c r="D101" s="11">
        <f>E101+G100</f>
        <v>26386</v>
      </c>
      <c r="E101" s="12">
        <v>26386</v>
      </c>
      <c r="F101" s="12">
        <v>16420</v>
      </c>
      <c r="G101" s="14"/>
      <c r="H101" s="49">
        <f>I101+K100</f>
        <v>7700</v>
      </c>
      <c r="I101" s="50">
        <f>5500+2200</f>
        <v>7700</v>
      </c>
      <c r="J101" s="52">
        <v>0</v>
      </c>
      <c r="K101" s="17">
        <v>0</v>
      </c>
    </row>
    <row r="102" spans="1:11" ht="14.25" hidden="1" customHeight="1">
      <c r="A102" s="69"/>
      <c r="B102" s="78"/>
      <c r="C102" s="20" t="s">
        <v>4</v>
      </c>
      <c r="D102" s="25"/>
      <c r="E102" s="17"/>
      <c r="F102" s="17"/>
      <c r="G102" s="14"/>
      <c r="H102" s="51"/>
      <c r="I102" s="52"/>
      <c r="J102" s="52"/>
      <c r="K102" s="9"/>
    </row>
    <row r="103" spans="1:11" ht="30" customHeight="1">
      <c r="A103" s="58">
        <v>5</v>
      </c>
      <c r="B103" s="60" t="s">
        <v>27</v>
      </c>
      <c r="C103" s="20" t="s">
        <v>8</v>
      </c>
      <c r="D103" s="11">
        <f>E103+G103</f>
        <v>371</v>
      </c>
      <c r="E103" s="12">
        <v>371</v>
      </c>
      <c r="F103" s="12"/>
      <c r="G103" s="15"/>
      <c r="H103" s="49">
        <f>I103+K103</f>
        <v>2175</v>
      </c>
      <c r="I103" s="50">
        <v>2175</v>
      </c>
      <c r="J103" s="52">
        <v>0</v>
      </c>
      <c r="K103" s="17">
        <v>0</v>
      </c>
    </row>
    <row r="104" spans="1:11" ht="22.95" customHeight="1">
      <c r="A104" s="71" t="s">
        <v>46</v>
      </c>
      <c r="B104" s="71"/>
      <c r="C104" s="72"/>
      <c r="D104" s="10" t="e">
        <f t="shared" ref="D104:D109" si="27">E104+G104</f>
        <v>#REF!</v>
      </c>
      <c r="E104" s="10" t="e">
        <f>E106+E113+E114</f>
        <v>#REF!</v>
      </c>
      <c r="F104" s="10" t="e">
        <f>F106+F113+F114</f>
        <v>#REF!</v>
      </c>
      <c r="G104" s="10" t="e">
        <f>G106+G113+G114</f>
        <v>#REF!</v>
      </c>
      <c r="H104" s="45">
        <f t="shared" ref="H104:H109" si="28">I104+K104</f>
        <v>452232</v>
      </c>
      <c r="I104" s="45">
        <f>I106+I113+I114+I112</f>
        <v>452232</v>
      </c>
      <c r="J104" s="45">
        <f>J106+J113+J114</f>
        <v>371204</v>
      </c>
      <c r="K104" s="37">
        <f>K106+K113+K114+K112</f>
        <v>0</v>
      </c>
    </row>
    <row r="105" spans="1:11" ht="15" hidden="1" customHeight="1">
      <c r="A105" s="67"/>
      <c r="B105" s="67"/>
      <c r="C105" s="68"/>
      <c r="D105" s="26">
        <f t="shared" si="27"/>
        <v>238035</v>
      </c>
      <c r="E105" s="18">
        <f>SUBTOTAL(9,E107:E114)</f>
        <v>231255</v>
      </c>
      <c r="F105" s="18">
        <f>SUBTOTAL(9,F107:F114)</f>
        <v>134877</v>
      </c>
      <c r="G105" s="18">
        <f>SUBTOTAL(9,G107:G114)</f>
        <v>6780</v>
      </c>
      <c r="H105" s="49">
        <f t="shared" si="28"/>
        <v>452232</v>
      </c>
      <c r="I105" s="50">
        <f>SUBTOTAL(9,I107:I114)</f>
        <v>452232</v>
      </c>
      <c r="J105" s="50">
        <f>SUBTOTAL(9,J107:J114)</f>
        <v>371204</v>
      </c>
      <c r="K105" s="17">
        <f>SUBTOTAL(9,K107:K114)</f>
        <v>0</v>
      </c>
    </row>
    <row r="106" spans="1:11" ht="18" customHeight="1">
      <c r="A106" s="69">
        <v>1</v>
      </c>
      <c r="B106" s="76" t="s">
        <v>78</v>
      </c>
      <c r="C106" s="21"/>
      <c r="D106" s="12" t="e">
        <f t="shared" si="27"/>
        <v>#REF!</v>
      </c>
      <c r="E106" s="12" t="e">
        <f>E107+E109+E108+E111+#REF!</f>
        <v>#REF!</v>
      </c>
      <c r="F106" s="12" t="e">
        <f>F107+F109+F108+F111+#REF!</f>
        <v>#REF!</v>
      </c>
      <c r="G106" s="12" t="e">
        <f>G107+G109+G108+G111+#REF!</f>
        <v>#REF!</v>
      </c>
      <c r="H106" s="50">
        <f t="shared" si="28"/>
        <v>446212</v>
      </c>
      <c r="I106" s="50">
        <f>I107+I109+I108+I111++I110</f>
        <v>446212</v>
      </c>
      <c r="J106" s="50">
        <f t="shared" ref="J106:K106" si="29">J107+J109+J108+J111++J110</f>
        <v>371204</v>
      </c>
      <c r="K106" s="50">
        <f t="shared" si="29"/>
        <v>0</v>
      </c>
    </row>
    <row r="107" spans="1:11" ht="18" customHeight="1">
      <c r="A107" s="69"/>
      <c r="B107" s="77"/>
      <c r="C107" s="20" t="s">
        <v>3</v>
      </c>
      <c r="D107" s="13">
        <f t="shared" si="27"/>
        <v>125855</v>
      </c>
      <c r="E107" s="14">
        <v>120063</v>
      </c>
      <c r="F107" s="14">
        <v>76749</v>
      </c>
      <c r="G107" s="14">
        <v>5792</v>
      </c>
      <c r="H107" s="48">
        <f t="shared" si="28"/>
        <v>235000</v>
      </c>
      <c r="I107" s="46">
        <v>235000</v>
      </c>
      <c r="J107" s="46">
        <v>205500</v>
      </c>
      <c r="K107" s="35">
        <v>0</v>
      </c>
    </row>
    <row r="108" spans="1:11" ht="18" hidden="1" customHeight="1">
      <c r="A108" s="69"/>
      <c r="B108" s="77"/>
      <c r="C108" s="20" t="s">
        <v>4</v>
      </c>
      <c r="D108" s="13">
        <f t="shared" si="27"/>
        <v>0</v>
      </c>
      <c r="E108" s="14"/>
      <c r="F108" s="14"/>
      <c r="G108" s="14"/>
      <c r="H108" s="48">
        <f t="shared" si="28"/>
        <v>0</v>
      </c>
      <c r="I108" s="46"/>
      <c r="J108" s="46"/>
      <c r="K108" s="14"/>
    </row>
    <row r="109" spans="1:11" ht="18" customHeight="1">
      <c r="A109" s="69"/>
      <c r="B109" s="77"/>
      <c r="C109" s="20" t="s">
        <v>10</v>
      </c>
      <c r="D109" s="13">
        <f t="shared" si="27"/>
        <v>79991</v>
      </c>
      <c r="E109" s="14">
        <v>79003</v>
      </c>
      <c r="F109" s="14">
        <v>58122</v>
      </c>
      <c r="G109" s="14">
        <v>988</v>
      </c>
      <c r="H109" s="48">
        <f t="shared" si="28"/>
        <v>165660</v>
      </c>
      <c r="I109" s="46">
        <v>165660</v>
      </c>
      <c r="J109" s="46">
        <v>159050</v>
      </c>
      <c r="K109" s="14">
        <v>0</v>
      </c>
    </row>
    <row r="110" spans="1:11" ht="18" customHeight="1">
      <c r="A110" s="69"/>
      <c r="B110" s="77"/>
      <c r="C110" s="24" t="s">
        <v>11</v>
      </c>
      <c r="D110" s="16"/>
      <c r="E110" s="16"/>
      <c r="F110" s="16"/>
      <c r="G110" s="16"/>
      <c r="H110" s="48">
        <f t="shared" ref="H110" si="30">I110+K110</f>
        <v>7002</v>
      </c>
      <c r="I110" s="46">
        <f>6751+251</f>
        <v>7002</v>
      </c>
      <c r="J110" s="46">
        <v>6654</v>
      </c>
      <c r="K110" s="40">
        <v>0</v>
      </c>
    </row>
    <row r="111" spans="1:11" ht="18" customHeight="1">
      <c r="A111" s="69"/>
      <c r="B111" s="78"/>
      <c r="C111" s="20" t="s">
        <v>5</v>
      </c>
      <c r="D111" s="13">
        <f>E111+G111</f>
        <v>31694</v>
      </c>
      <c r="E111" s="14">
        <v>31694</v>
      </c>
      <c r="F111" s="14"/>
      <c r="G111" s="14"/>
      <c r="H111" s="48">
        <f>I111+K111</f>
        <v>38550</v>
      </c>
      <c r="I111" s="46">
        <v>38550</v>
      </c>
      <c r="J111" s="47">
        <v>0</v>
      </c>
      <c r="K111" s="35">
        <v>0</v>
      </c>
    </row>
    <row r="112" spans="1:11" ht="30" hidden="1" customHeight="1">
      <c r="A112" s="58">
        <v>2</v>
      </c>
      <c r="B112" s="63" t="s">
        <v>24</v>
      </c>
      <c r="C112" s="20" t="s">
        <v>3</v>
      </c>
      <c r="D112" s="25"/>
      <c r="E112" s="14"/>
      <c r="F112" s="14"/>
      <c r="G112" s="14"/>
      <c r="H112" s="51">
        <f>I112+K112</f>
        <v>0</v>
      </c>
      <c r="I112" s="52"/>
      <c r="J112" s="52">
        <v>0</v>
      </c>
      <c r="K112" s="17"/>
    </row>
    <row r="113" spans="1:11" ht="30" customHeight="1">
      <c r="A113" s="58">
        <v>4</v>
      </c>
      <c r="B113" s="60" t="s">
        <v>26</v>
      </c>
      <c r="C113" s="20" t="s">
        <v>8</v>
      </c>
      <c r="D113" s="11">
        <f>E113+G113</f>
        <v>495</v>
      </c>
      <c r="E113" s="12">
        <v>495</v>
      </c>
      <c r="F113" s="12">
        <v>6</v>
      </c>
      <c r="G113" s="12"/>
      <c r="H113" s="51">
        <f>I113+K113</f>
        <v>6020</v>
      </c>
      <c r="I113" s="52">
        <f>4800+1220</f>
        <v>6020</v>
      </c>
      <c r="J113" s="52">
        <v>0</v>
      </c>
      <c r="K113" s="17">
        <v>0</v>
      </c>
    </row>
    <row r="114" spans="1:11" ht="30" hidden="1" customHeight="1">
      <c r="A114" s="58">
        <v>5</v>
      </c>
      <c r="B114" s="60" t="s">
        <v>27</v>
      </c>
      <c r="C114" s="20" t="s">
        <v>8</v>
      </c>
      <c r="D114" s="11">
        <v>0</v>
      </c>
      <c r="E114" s="12">
        <v>0</v>
      </c>
      <c r="F114" s="12"/>
      <c r="G114" s="12"/>
      <c r="H114" s="49">
        <f>I114+K114</f>
        <v>0</v>
      </c>
      <c r="I114" s="50"/>
      <c r="J114" s="52">
        <v>0</v>
      </c>
      <c r="K114" s="17">
        <v>0</v>
      </c>
    </row>
    <row r="115" spans="1:11" ht="21" customHeight="1">
      <c r="A115" s="71" t="s">
        <v>42</v>
      </c>
      <c r="B115" s="71"/>
      <c r="C115" s="72"/>
      <c r="D115" s="10">
        <f>E115+G115</f>
        <v>245839</v>
      </c>
      <c r="E115" s="10">
        <f>E117+E124+E125</f>
        <v>244179</v>
      </c>
      <c r="F115" s="10">
        <f>F117+F124+F125</f>
        <v>142173</v>
      </c>
      <c r="G115" s="10">
        <f>G117+G124+G125</f>
        <v>1660</v>
      </c>
      <c r="H115" s="45">
        <f>I115+K115</f>
        <v>518168</v>
      </c>
      <c r="I115" s="45">
        <f>I117+I124+I125+I123</f>
        <v>515468</v>
      </c>
      <c r="J115" s="45">
        <f>J117+J124+J125</f>
        <v>415043</v>
      </c>
      <c r="K115" s="37">
        <f>K117+K124+K125+K123</f>
        <v>2700</v>
      </c>
    </row>
    <row r="116" spans="1:11" ht="15" hidden="1" customHeight="1">
      <c r="A116" s="67"/>
      <c r="B116" s="67"/>
      <c r="C116" s="68"/>
      <c r="D116" s="26"/>
      <c r="E116" s="18"/>
      <c r="F116" s="18"/>
      <c r="G116" s="18"/>
      <c r="H116" s="49"/>
      <c r="I116" s="50"/>
      <c r="J116" s="50"/>
      <c r="K116" s="38"/>
    </row>
    <row r="117" spans="1:11" ht="18" customHeight="1">
      <c r="A117" s="69">
        <v>1</v>
      </c>
      <c r="B117" s="70" t="s">
        <v>78</v>
      </c>
      <c r="C117" s="21"/>
      <c r="D117" s="12">
        <f t="shared" ref="D117:D126" si="31">E117+G117</f>
        <v>244602</v>
      </c>
      <c r="E117" s="12">
        <f>SUM(E118:E122)</f>
        <v>242942</v>
      </c>
      <c r="F117" s="12">
        <f>SUM(F118:F122)</f>
        <v>142167</v>
      </c>
      <c r="G117" s="12">
        <f>SUM(G118:G122)</f>
        <v>1660</v>
      </c>
      <c r="H117" s="50">
        <f t="shared" ref="H117:H126" si="32">I117+K117</f>
        <v>508908</v>
      </c>
      <c r="I117" s="50">
        <f>SUM(I118:I122)</f>
        <v>506208</v>
      </c>
      <c r="J117" s="50">
        <f>SUM(J118:J122)</f>
        <v>415043</v>
      </c>
      <c r="K117" s="38">
        <f>SUM(K118:K122)</f>
        <v>2700</v>
      </c>
    </row>
    <row r="118" spans="1:11" ht="18" customHeight="1">
      <c r="A118" s="69"/>
      <c r="B118" s="70"/>
      <c r="C118" s="20" t="s">
        <v>3</v>
      </c>
      <c r="D118" s="13">
        <f t="shared" si="31"/>
        <v>137480</v>
      </c>
      <c r="E118" s="14">
        <v>135820</v>
      </c>
      <c r="F118" s="14">
        <v>84857</v>
      </c>
      <c r="G118" s="14">
        <v>1660</v>
      </c>
      <c r="H118" s="48">
        <f t="shared" si="32"/>
        <v>245444</v>
      </c>
      <c r="I118" s="46">
        <v>242744</v>
      </c>
      <c r="J118" s="46">
        <v>203948</v>
      </c>
      <c r="K118" s="35">
        <v>2700</v>
      </c>
    </row>
    <row r="119" spans="1:11" ht="18" hidden="1" customHeight="1">
      <c r="A119" s="69"/>
      <c r="B119" s="70"/>
      <c r="C119" s="20" t="s">
        <v>4</v>
      </c>
      <c r="D119" s="13">
        <f t="shared" si="31"/>
        <v>0</v>
      </c>
      <c r="E119" s="14"/>
      <c r="F119" s="14"/>
      <c r="G119" s="14"/>
      <c r="H119" s="48">
        <f t="shared" si="32"/>
        <v>0</v>
      </c>
      <c r="I119" s="46"/>
      <c r="J119" s="46"/>
      <c r="K119" s="14"/>
    </row>
    <row r="120" spans="1:11" ht="18" customHeight="1">
      <c r="A120" s="69"/>
      <c r="B120" s="70"/>
      <c r="C120" s="20" t="s">
        <v>10</v>
      </c>
      <c r="D120" s="13">
        <f t="shared" si="31"/>
        <v>78912</v>
      </c>
      <c r="E120" s="14">
        <v>78912</v>
      </c>
      <c r="F120" s="14">
        <v>57310</v>
      </c>
      <c r="G120" s="14"/>
      <c r="H120" s="48">
        <f t="shared" si="32"/>
        <v>210780</v>
      </c>
      <c r="I120" s="46">
        <v>210780</v>
      </c>
      <c r="J120" s="46">
        <v>202760</v>
      </c>
      <c r="K120" s="35">
        <v>0</v>
      </c>
    </row>
    <row r="121" spans="1:11" ht="18" customHeight="1">
      <c r="A121" s="69"/>
      <c r="B121" s="70"/>
      <c r="C121" s="20" t="s">
        <v>11</v>
      </c>
      <c r="D121" s="13"/>
      <c r="E121" s="14"/>
      <c r="F121" s="14"/>
      <c r="G121" s="14"/>
      <c r="H121" s="48">
        <f t="shared" ref="H121" si="33">I121+K121</f>
        <v>9184</v>
      </c>
      <c r="I121" s="46">
        <v>9184</v>
      </c>
      <c r="J121" s="46">
        <v>8335</v>
      </c>
      <c r="K121" s="14">
        <v>0</v>
      </c>
    </row>
    <row r="122" spans="1:11" ht="18" customHeight="1">
      <c r="A122" s="69"/>
      <c r="B122" s="70"/>
      <c r="C122" s="20" t="s">
        <v>5</v>
      </c>
      <c r="D122" s="13">
        <f t="shared" si="31"/>
        <v>28210</v>
      </c>
      <c r="E122" s="14">
        <v>28210</v>
      </c>
      <c r="F122" s="14"/>
      <c r="G122" s="14"/>
      <c r="H122" s="48">
        <f t="shared" si="32"/>
        <v>43500</v>
      </c>
      <c r="I122" s="46">
        <v>43500</v>
      </c>
      <c r="J122" s="46">
        <v>0</v>
      </c>
      <c r="K122" s="14">
        <v>0</v>
      </c>
    </row>
    <row r="123" spans="1:11" ht="28.5" hidden="1" customHeight="1">
      <c r="A123" s="58">
        <v>2</v>
      </c>
      <c r="B123" s="63" t="s">
        <v>24</v>
      </c>
      <c r="C123" s="20" t="s">
        <v>3</v>
      </c>
      <c r="D123" s="13"/>
      <c r="E123" s="14"/>
      <c r="F123" s="14"/>
      <c r="G123" s="14"/>
      <c r="H123" s="49">
        <f t="shared" ref="H123" si="34">I123+K123</f>
        <v>0</v>
      </c>
      <c r="I123" s="50"/>
      <c r="J123" s="50">
        <v>0</v>
      </c>
      <c r="K123" s="17"/>
    </row>
    <row r="124" spans="1:11" ht="25.95" customHeight="1">
      <c r="A124" s="58">
        <v>4</v>
      </c>
      <c r="B124" s="60" t="s">
        <v>26</v>
      </c>
      <c r="C124" s="20" t="s">
        <v>8</v>
      </c>
      <c r="D124" s="11">
        <f t="shared" si="31"/>
        <v>517</v>
      </c>
      <c r="E124" s="12">
        <v>517</v>
      </c>
      <c r="F124" s="12">
        <v>6</v>
      </c>
      <c r="G124" s="12"/>
      <c r="H124" s="49">
        <f t="shared" si="32"/>
        <v>7085</v>
      </c>
      <c r="I124" s="50">
        <f>6300+785</f>
        <v>7085</v>
      </c>
      <c r="J124" s="50">
        <v>0</v>
      </c>
      <c r="K124" s="17">
        <v>0</v>
      </c>
    </row>
    <row r="125" spans="1:11" ht="30" customHeight="1">
      <c r="A125" s="58">
        <v>5</v>
      </c>
      <c r="B125" s="60" t="s">
        <v>27</v>
      </c>
      <c r="C125" s="20" t="s">
        <v>8</v>
      </c>
      <c r="D125" s="11">
        <f t="shared" si="31"/>
        <v>720</v>
      </c>
      <c r="E125" s="12">
        <v>720</v>
      </c>
      <c r="F125" s="12"/>
      <c r="G125" s="12"/>
      <c r="H125" s="49">
        <f t="shared" si="32"/>
        <v>2175</v>
      </c>
      <c r="I125" s="50">
        <v>2175</v>
      </c>
      <c r="J125" s="50">
        <v>0</v>
      </c>
      <c r="K125" s="17">
        <v>0</v>
      </c>
    </row>
    <row r="126" spans="1:11" ht="21.6" customHeight="1">
      <c r="A126" s="71" t="s">
        <v>90</v>
      </c>
      <c r="B126" s="71"/>
      <c r="C126" s="72"/>
      <c r="D126" s="10">
        <f t="shared" si="31"/>
        <v>86268</v>
      </c>
      <c r="E126" s="10">
        <f>E128+E135+E136</f>
        <v>85733</v>
      </c>
      <c r="F126" s="10">
        <f>F128+F135+F136</f>
        <v>49894</v>
      </c>
      <c r="G126" s="10">
        <f>G128+G135+G136</f>
        <v>535</v>
      </c>
      <c r="H126" s="45">
        <f t="shared" si="32"/>
        <v>226035</v>
      </c>
      <c r="I126" s="45">
        <f>I128+I135+I136</f>
        <v>222035</v>
      </c>
      <c r="J126" s="45">
        <f>J128+J135+J136</f>
        <v>172850</v>
      </c>
      <c r="K126" s="37">
        <f>K128+K135+K136</f>
        <v>4000</v>
      </c>
    </row>
    <row r="127" spans="1:11" ht="15" hidden="1" customHeight="1">
      <c r="A127" s="67"/>
      <c r="B127" s="67"/>
      <c r="C127" s="68"/>
      <c r="D127" s="11"/>
      <c r="E127" s="12"/>
      <c r="F127" s="12"/>
      <c r="G127" s="12"/>
      <c r="H127" s="49"/>
      <c r="I127" s="50"/>
      <c r="J127" s="50"/>
      <c r="K127" s="17"/>
    </row>
    <row r="128" spans="1:11" ht="18" customHeight="1">
      <c r="A128" s="69">
        <v>1</v>
      </c>
      <c r="B128" s="70" t="s">
        <v>78</v>
      </c>
      <c r="C128" s="23"/>
      <c r="D128" s="12">
        <f t="shared" ref="D128:D137" si="35">E128+G128</f>
        <v>85240</v>
      </c>
      <c r="E128" s="12">
        <f>SUM(E129:E134)</f>
        <v>84705</v>
      </c>
      <c r="F128" s="12">
        <f>SUM(F129:F134)</f>
        <v>49889</v>
      </c>
      <c r="G128" s="12">
        <f>SUM(G129:G134)</f>
        <v>535</v>
      </c>
      <c r="H128" s="50">
        <f t="shared" ref="H128:H137" si="36">I128+K128</f>
        <v>219475</v>
      </c>
      <c r="I128" s="50">
        <f>SUM(I129:I134)</f>
        <v>215475</v>
      </c>
      <c r="J128" s="50">
        <f>SUM(J129:J134)</f>
        <v>172850</v>
      </c>
      <c r="K128" s="38">
        <f>SUM(K129:K134)</f>
        <v>4000</v>
      </c>
    </row>
    <row r="129" spans="1:11" ht="18" customHeight="1">
      <c r="A129" s="69"/>
      <c r="B129" s="70"/>
      <c r="C129" s="20" t="s">
        <v>3</v>
      </c>
      <c r="D129" s="13">
        <f t="shared" si="35"/>
        <v>43925</v>
      </c>
      <c r="E129" s="14">
        <v>43925</v>
      </c>
      <c r="F129" s="14">
        <v>26645</v>
      </c>
      <c r="G129" s="14"/>
      <c r="H129" s="48">
        <f t="shared" si="36"/>
        <v>118400</v>
      </c>
      <c r="I129" s="46">
        <v>114400</v>
      </c>
      <c r="J129" s="46">
        <v>94130</v>
      </c>
      <c r="K129" s="35">
        <v>4000</v>
      </c>
    </row>
    <row r="130" spans="1:11" ht="18" hidden="1" customHeight="1">
      <c r="A130" s="69"/>
      <c r="B130" s="70"/>
      <c r="C130" s="20" t="s">
        <v>4</v>
      </c>
      <c r="D130" s="13">
        <f t="shared" si="35"/>
        <v>0</v>
      </c>
      <c r="E130" s="14"/>
      <c r="F130" s="14"/>
      <c r="G130" s="14"/>
      <c r="H130" s="48">
        <f t="shared" si="36"/>
        <v>0</v>
      </c>
      <c r="I130" s="46"/>
      <c r="J130" s="46"/>
      <c r="K130" s="14"/>
    </row>
    <row r="131" spans="1:11" ht="18" customHeight="1">
      <c r="A131" s="69"/>
      <c r="B131" s="70"/>
      <c r="C131" s="20" t="s">
        <v>10</v>
      </c>
      <c r="D131" s="13">
        <f t="shared" si="35"/>
        <v>32029</v>
      </c>
      <c r="E131" s="14">
        <v>31494</v>
      </c>
      <c r="F131" s="14">
        <v>23244</v>
      </c>
      <c r="G131" s="14">
        <v>535</v>
      </c>
      <c r="H131" s="48">
        <f t="shared" si="36"/>
        <v>81880</v>
      </c>
      <c r="I131" s="46">
        <v>81880</v>
      </c>
      <c r="J131" s="46">
        <v>78720</v>
      </c>
      <c r="K131" s="14">
        <v>0</v>
      </c>
    </row>
    <row r="132" spans="1:11" ht="18" customHeight="1">
      <c r="A132" s="69"/>
      <c r="B132" s="70"/>
      <c r="C132" s="20" t="s">
        <v>11</v>
      </c>
      <c r="D132" s="13"/>
      <c r="E132" s="14"/>
      <c r="F132" s="14"/>
      <c r="G132" s="14"/>
      <c r="H132" s="48">
        <f t="shared" ref="H132" si="37">I132+K132</f>
        <v>495</v>
      </c>
      <c r="I132" s="46">
        <v>495</v>
      </c>
      <c r="J132" s="46">
        <v>0</v>
      </c>
      <c r="K132" s="14">
        <v>0</v>
      </c>
    </row>
    <row r="133" spans="1:11" ht="18" customHeight="1">
      <c r="A133" s="69"/>
      <c r="B133" s="70"/>
      <c r="C133" s="20" t="s">
        <v>5</v>
      </c>
      <c r="D133" s="13">
        <f t="shared" si="35"/>
        <v>9286</v>
      </c>
      <c r="E133" s="14">
        <v>9286</v>
      </c>
      <c r="F133" s="14"/>
      <c r="G133" s="14"/>
      <c r="H133" s="48">
        <f t="shared" si="36"/>
        <v>18700</v>
      </c>
      <c r="I133" s="46">
        <v>18700</v>
      </c>
      <c r="J133" s="46">
        <v>0</v>
      </c>
      <c r="K133" s="14">
        <v>0</v>
      </c>
    </row>
    <row r="134" spans="1:11" ht="14.25" hidden="1" customHeight="1">
      <c r="A134" s="69"/>
      <c r="B134" s="70"/>
      <c r="C134" s="20" t="s">
        <v>5</v>
      </c>
      <c r="D134" s="25">
        <f t="shared" si="35"/>
        <v>0</v>
      </c>
      <c r="E134" s="14"/>
      <c r="F134" s="14"/>
      <c r="G134" s="14"/>
      <c r="H134" s="51">
        <f t="shared" si="36"/>
        <v>0</v>
      </c>
      <c r="I134" s="47"/>
      <c r="J134" s="47"/>
      <c r="K134" s="14"/>
    </row>
    <row r="135" spans="1:11" ht="25.95" customHeight="1">
      <c r="A135" s="58">
        <v>4</v>
      </c>
      <c r="B135" s="60" t="s">
        <v>26</v>
      </c>
      <c r="C135" s="20" t="s">
        <v>8</v>
      </c>
      <c r="D135" s="11">
        <f t="shared" si="35"/>
        <v>313</v>
      </c>
      <c r="E135" s="12">
        <v>313</v>
      </c>
      <c r="F135" s="12">
        <v>5</v>
      </c>
      <c r="G135" s="12"/>
      <c r="H135" s="49">
        <f t="shared" si="36"/>
        <v>4385</v>
      </c>
      <c r="I135" s="50">
        <f>3600+785</f>
        <v>4385</v>
      </c>
      <c r="J135" s="52">
        <v>0</v>
      </c>
      <c r="K135" s="17">
        <v>0</v>
      </c>
    </row>
    <row r="136" spans="1:11" ht="30" customHeight="1">
      <c r="A136" s="58">
        <v>5</v>
      </c>
      <c r="B136" s="60" t="s">
        <v>27</v>
      </c>
      <c r="C136" s="20" t="s">
        <v>8</v>
      </c>
      <c r="D136" s="11">
        <f t="shared" si="35"/>
        <v>715</v>
      </c>
      <c r="E136" s="12">
        <v>715</v>
      </c>
      <c r="F136" s="12"/>
      <c r="G136" s="12"/>
      <c r="H136" s="49">
        <f t="shared" si="36"/>
        <v>2175</v>
      </c>
      <c r="I136" s="50">
        <v>2175</v>
      </c>
      <c r="J136" s="52">
        <v>0</v>
      </c>
      <c r="K136" s="17">
        <v>0</v>
      </c>
    </row>
    <row r="137" spans="1:11" ht="22.95" customHeight="1">
      <c r="A137" s="71" t="s">
        <v>14</v>
      </c>
      <c r="B137" s="71"/>
      <c r="C137" s="72"/>
      <c r="D137" s="10" t="e">
        <f t="shared" si="35"/>
        <v>#REF!</v>
      </c>
      <c r="E137" s="10" t="e">
        <f>E139+E145+E146</f>
        <v>#REF!</v>
      </c>
      <c r="F137" s="10" t="e">
        <f>F139+F145+F146</f>
        <v>#REF!</v>
      </c>
      <c r="G137" s="10" t="e">
        <f>G139+G145+G146</f>
        <v>#REF!</v>
      </c>
      <c r="H137" s="45">
        <f t="shared" si="36"/>
        <v>1094487</v>
      </c>
      <c r="I137" s="45">
        <f>I139+I145+I146</f>
        <v>1089537</v>
      </c>
      <c r="J137" s="45">
        <f>J139+J145+J146</f>
        <v>957872</v>
      </c>
      <c r="K137" s="37">
        <f>K139+K145+K146</f>
        <v>4950</v>
      </c>
    </row>
    <row r="138" spans="1:11" ht="14.25" hidden="1" customHeight="1">
      <c r="A138" s="67"/>
      <c r="B138" s="67"/>
      <c r="C138" s="68"/>
      <c r="D138" s="11"/>
      <c r="E138" s="12"/>
      <c r="F138" s="12"/>
      <c r="G138" s="12"/>
      <c r="H138" s="49"/>
      <c r="I138" s="50"/>
      <c r="J138" s="50"/>
      <c r="K138" s="38"/>
    </row>
    <row r="139" spans="1:11" ht="18" customHeight="1">
      <c r="A139" s="73">
        <v>1</v>
      </c>
      <c r="B139" s="73" t="s">
        <v>78</v>
      </c>
      <c r="C139" s="23"/>
      <c r="D139" s="12">
        <f t="shared" ref="D139:D146" si="38">E139+G139</f>
        <v>1070484</v>
      </c>
      <c r="E139" s="12">
        <f>SUM(E140:E144)</f>
        <v>1070484</v>
      </c>
      <c r="F139" s="12">
        <f>SUM(F140:F144)</f>
        <v>706113</v>
      </c>
      <c r="G139" s="12">
        <f>SUM(G140:G144)</f>
        <v>0</v>
      </c>
      <c r="H139" s="50">
        <f t="shared" ref="H139:H146" si="39">I139+K139</f>
        <v>1092312</v>
      </c>
      <c r="I139" s="50">
        <f>SUM(I140:I144)</f>
        <v>1087362</v>
      </c>
      <c r="J139" s="50">
        <f>SUM(J140:J144)</f>
        <v>957872</v>
      </c>
      <c r="K139" s="38">
        <f>SUM(K140:K144)</f>
        <v>4950</v>
      </c>
    </row>
    <row r="140" spans="1:11" ht="18" customHeight="1">
      <c r="A140" s="75"/>
      <c r="B140" s="75"/>
      <c r="C140" s="20" t="s">
        <v>3</v>
      </c>
      <c r="D140" s="13">
        <f t="shared" si="38"/>
        <v>265448</v>
      </c>
      <c r="E140" s="14">
        <v>265448</v>
      </c>
      <c r="F140" s="14">
        <v>124247</v>
      </c>
      <c r="G140" s="14"/>
      <c r="H140" s="48">
        <f t="shared" si="39"/>
        <v>297845</v>
      </c>
      <c r="I140" s="46">
        <v>292895</v>
      </c>
      <c r="J140" s="46">
        <v>205032</v>
      </c>
      <c r="K140" s="35">
        <v>4950</v>
      </c>
    </row>
    <row r="141" spans="1:11" ht="18" hidden="1" customHeight="1">
      <c r="A141" s="104"/>
      <c r="B141" s="104"/>
      <c r="C141" s="20" t="s">
        <v>4</v>
      </c>
      <c r="D141" s="13">
        <f t="shared" si="38"/>
        <v>0</v>
      </c>
      <c r="E141" s="14"/>
      <c r="F141" s="14"/>
      <c r="G141" s="14"/>
      <c r="H141" s="48">
        <f t="shared" si="39"/>
        <v>0</v>
      </c>
      <c r="I141" s="46"/>
      <c r="J141" s="46"/>
      <c r="K141" s="35"/>
    </row>
    <row r="142" spans="1:11" ht="18" customHeight="1">
      <c r="A142" s="74">
        <v>1</v>
      </c>
      <c r="B142" s="73" t="s">
        <v>78</v>
      </c>
      <c r="C142" s="20" t="s">
        <v>10</v>
      </c>
      <c r="D142" s="13">
        <f t="shared" si="38"/>
        <v>778682</v>
      </c>
      <c r="E142" s="14">
        <v>778682</v>
      </c>
      <c r="F142" s="14">
        <v>581866</v>
      </c>
      <c r="G142" s="14"/>
      <c r="H142" s="48">
        <f t="shared" si="39"/>
        <v>772220</v>
      </c>
      <c r="I142" s="46">
        <v>772220</v>
      </c>
      <c r="J142" s="46">
        <v>747040</v>
      </c>
      <c r="K142" s="35">
        <v>0</v>
      </c>
    </row>
    <row r="143" spans="1:11" ht="18" customHeight="1">
      <c r="A143" s="74"/>
      <c r="B143" s="74"/>
      <c r="C143" s="20" t="s">
        <v>11</v>
      </c>
      <c r="D143" s="13">
        <f t="shared" si="38"/>
        <v>0</v>
      </c>
      <c r="E143" s="14"/>
      <c r="F143" s="14"/>
      <c r="G143" s="14"/>
      <c r="H143" s="48">
        <f t="shared" si="39"/>
        <v>18547</v>
      </c>
      <c r="I143" s="46">
        <v>18547</v>
      </c>
      <c r="J143" s="46">
        <v>5110</v>
      </c>
      <c r="K143" s="35">
        <v>0</v>
      </c>
    </row>
    <row r="144" spans="1:11" ht="18" customHeight="1">
      <c r="A144" s="75"/>
      <c r="B144" s="75"/>
      <c r="C144" s="20" t="s">
        <v>5</v>
      </c>
      <c r="D144" s="13">
        <f t="shared" si="38"/>
        <v>26354</v>
      </c>
      <c r="E144" s="14">
        <v>26354</v>
      </c>
      <c r="F144" s="14"/>
      <c r="G144" s="14"/>
      <c r="H144" s="48">
        <f t="shared" si="39"/>
        <v>3700</v>
      </c>
      <c r="I144" s="46">
        <v>3700</v>
      </c>
      <c r="J144" s="46">
        <v>690</v>
      </c>
      <c r="K144" s="35">
        <v>0</v>
      </c>
    </row>
    <row r="145" spans="1:11" ht="33.75" hidden="1" customHeight="1">
      <c r="A145" s="58">
        <v>2</v>
      </c>
      <c r="B145" s="63" t="s">
        <v>24</v>
      </c>
      <c r="C145" s="24" t="s">
        <v>3</v>
      </c>
      <c r="D145" s="12" t="e">
        <f t="shared" si="38"/>
        <v>#REF!</v>
      </c>
      <c r="E145" s="12" t="e">
        <f>SUM(#REF!)</f>
        <v>#REF!</v>
      </c>
      <c r="F145" s="12" t="e">
        <f>SUM(#REF!)</f>
        <v>#REF!</v>
      </c>
      <c r="G145" s="12" t="e">
        <f>SUM(#REF!)</f>
        <v>#REF!</v>
      </c>
      <c r="H145" s="50">
        <f t="shared" si="39"/>
        <v>0</v>
      </c>
      <c r="I145" s="50"/>
      <c r="J145" s="50">
        <v>0</v>
      </c>
      <c r="K145" s="38"/>
    </row>
    <row r="146" spans="1:11" ht="30" customHeight="1">
      <c r="A146" s="58">
        <v>5</v>
      </c>
      <c r="B146" s="60" t="s">
        <v>27</v>
      </c>
      <c r="C146" s="20" t="s">
        <v>8</v>
      </c>
      <c r="D146" s="11">
        <f t="shared" si="38"/>
        <v>2880</v>
      </c>
      <c r="E146" s="12">
        <v>2880</v>
      </c>
      <c r="F146" s="12"/>
      <c r="G146" s="12"/>
      <c r="H146" s="49">
        <f t="shared" si="39"/>
        <v>2175</v>
      </c>
      <c r="I146" s="50">
        <v>2175</v>
      </c>
      <c r="J146" s="50">
        <v>0</v>
      </c>
      <c r="K146" s="38">
        <v>0</v>
      </c>
    </row>
    <row r="147" spans="1:11" ht="23.4" customHeight="1">
      <c r="A147" s="71" t="s">
        <v>15</v>
      </c>
      <c r="B147" s="71"/>
      <c r="C147" s="72"/>
      <c r="D147" s="10">
        <f>E147+G147</f>
        <v>893267</v>
      </c>
      <c r="E147" s="10">
        <f>E149+E156+E160</f>
        <v>892340</v>
      </c>
      <c r="F147" s="10">
        <f>F149+F156+F160</f>
        <v>571784</v>
      </c>
      <c r="G147" s="10">
        <f>G149+G156+G160</f>
        <v>927</v>
      </c>
      <c r="H147" s="45">
        <f>I147+K147</f>
        <v>1983344</v>
      </c>
      <c r="I147" s="45">
        <f>I149+I156+I160</f>
        <v>1971604</v>
      </c>
      <c r="J147" s="45">
        <f>J149+J156+J160</f>
        <v>1756459</v>
      </c>
      <c r="K147" s="37">
        <f>K149+K156+K160+K155</f>
        <v>11740</v>
      </c>
    </row>
    <row r="148" spans="1:11" ht="15" hidden="1" customHeight="1">
      <c r="A148" s="67"/>
      <c r="B148" s="67"/>
      <c r="C148" s="68"/>
      <c r="D148" s="11"/>
      <c r="E148" s="12"/>
      <c r="F148" s="12"/>
      <c r="G148" s="12"/>
      <c r="H148" s="51"/>
      <c r="I148" s="52"/>
      <c r="J148" s="52"/>
      <c r="K148" s="17"/>
    </row>
    <row r="149" spans="1:11" ht="18" customHeight="1">
      <c r="A149" s="69">
        <v>1</v>
      </c>
      <c r="B149" s="70" t="s">
        <v>78</v>
      </c>
      <c r="C149" s="24"/>
      <c r="D149" s="12">
        <f t="shared" ref="D149:D160" si="40">E149+G149</f>
        <v>858721</v>
      </c>
      <c r="E149" s="12">
        <f>SUM(E150:E154)</f>
        <v>857794</v>
      </c>
      <c r="F149" s="12">
        <f>SUM(F150:F154)</f>
        <v>570928</v>
      </c>
      <c r="G149" s="12">
        <f>SUM(G150:G154)</f>
        <v>927</v>
      </c>
      <c r="H149" s="50">
        <f t="shared" ref="H149:H160" si="41">I149+K149</f>
        <v>1969429</v>
      </c>
      <c r="I149" s="50">
        <f>SUM(I150:I154)</f>
        <v>1969429</v>
      </c>
      <c r="J149" s="50">
        <f>SUM(J150:J154)</f>
        <v>1756459</v>
      </c>
      <c r="K149" s="38">
        <f>SUM(K150:K154)</f>
        <v>0</v>
      </c>
    </row>
    <row r="150" spans="1:11" ht="18" customHeight="1">
      <c r="A150" s="69"/>
      <c r="B150" s="70"/>
      <c r="C150" s="20" t="s">
        <v>3</v>
      </c>
      <c r="D150" s="13">
        <f t="shared" si="40"/>
        <v>226490</v>
      </c>
      <c r="E150" s="14">
        <v>226490</v>
      </c>
      <c r="F150" s="14">
        <v>129227</v>
      </c>
      <c r="G150" s="14"/>
      <c r="H150" s="48">
        <f t="shared" si="41"/>
        <v>513200</v>
      </c>
      <c r="I150" s="46">
        <v>513200</v>
      </c>
      <c r="J150" s="46">
        <v>384613</v>
      </c>
      <c r="K150" s="35">
        <v>0</v>
      </c>
    </row>
    <row r="151" spans="1:11" ht="18" hidden="1" customHeight="1">
      <c r="A151" s="69"/>
      <c r="B151" s="70"/>
      <c r="C151" s="20" t="s">
        <v>4</v>
      </c>
      <c r="D151" s="13">
        <f t="shared" si="40"/>
        <v>0</v>
      </c>
      <c r="E151" s="14"/>
      <c r="F151" s="14"/>
      <c r="G151" s="14"/>
      <c r="H151" s="48">
        <f t="shared" si="41"/>
        <v>0</v>
      </c>
      <c r="I151" s="46"/>
      <c r="J151" s="46"/>
      <c r="K151" s="35"/>
    </row>
    <row r="152" spans="1:11" ht="18" customHeight="1">
      <c r="A152" s="69"/>
      <c r="B152" s="70"/>
      <c r="C152" s="20" t="s">
        <v>10</v>
      </c>
      <c r="D152" s="13">
        <f t="shared" si="40"/>
        <v>595815</v>
      </c>
      <c r="E152" s="14">
        <v>594888</v>
      </c>
      <c r="F152" s="14">
        <v>441701</v>
      </c>
      <c r="G152" s="14">
        <v>927</v>
      </c>
      <c r="H152" s="48">
        <f t="shared" si="41"/>
        <v>1404330</v>
      </c>
      <c r="I152" s="46">
        <v>1404330</v>
      </c>
      <c r="J152" s="46">
        <v>1356420</v>
      </c>
      <c r="K152" s="35">
        <v>0</v>
      </c>
    </row>
    <row r="153" spans="1:11" ht="18" customHeight="1">
      <c r="A153" s="69"/>
      <c r="B153" s="70"/>
      <c r="C153" s="20" t="s">
        <v>11</v>
      </c>
      <c r="D153" s="13">
        <f t="shared" si="40"/>
        <v>0</v>
      </c>
      <c r="E153" s="14"/>
      <c r="F153" s="14"/>
      <c r="G153" s="14"/>
      <c r="H153" s="48">
        <f t="shared" ref="H153" si="42">I153+K153</f>
        <v>40499</v>
      </c>
      <c r="I153" s="46">
        <v>40499</v>
      </c>
      <c r="J153" s="46">
        <v>13976</v>
      </c>
      <c r="K153" s="35">
        <v>0</v>
      </c>
    </row>
    <row r="154" spans="1:11" ht="18" customHeight="1">
      <c r="A154" s="69"/>
      <c r="B154" s="70"/>
      <c r="C154" s="20" t="s">
        <v>5</v>
      </c>
      <c r="D154" s="13">
        <f t="shared" si="40"/>
        <v>36416</v>
      </c>
      <c r="E154" s="14">
        <v>36416</v>
      </c>
      <c r="F154" s="14"/>
      <c r="G154" s="14"/>
      <c r="H154" s="48">
        <f t="shared" si="41"/>
        <v>11400</v>
      </c>
      <c r="I154" s="46">
        <v>11400</v>
      </c>
      <c r="J154" s="46">
        <v>1450</v>
      </c>
      <c r="K154" s="35">
        <v>0</v>
      </c>
    </row>
    <row r="155" spans="1:11" ht="30" customHeight="1">
      <c r="A155" s="58">
        <v>2</v>
      </c>
      <c r="B155" s="63" t="s">
        <v>24</v>
      </c>
      <c r="C155" s="24" t="s">
        <v>3</v>
      </c>
      <c r="D155" s="13"/>
      <c r="E155" s="14"/>
      <c r="F155" s="14"/>
      <c r="G155" s="14"/>
      <c r="H155" s="49">
        <f t="shared" si="41"/>
        <v>11740</v>
      </c>
      <c r="I155" s="50">
        <v>0</v>
      </c>
      <c r="J155" s="50">
        <v>0</v>
      </c>
      <c r="K155" s="38">
        <v>11740</v>
      </c>
    </row>
    <row r="156" spans="1:11" ht="18" hidden="1" customHeight="1">
      <c r="A156" s="69">
        <v>4</v>
      </c>
      <c r="B156" s="70" t="s">
        <v>26</v>
      </c>
      <c r="C156" s="21"/>
      <c r="D156" s="12">
        <f t="shared" si="40"/>
        <v>31654</v>
      </c>
      <c r="E156" s="12">
        <f>SUM(E157:E159)</f>
        <v>31654</v>
      </c>
      <c r="F156" s="12">
        <f>SUM(F157:F159)</f>
        <v>856</v>
      </c>
      <c r="G156" s="12">
        <f>SUM(G157:G159)</f>
        <v>0</v>
      </c>
      <c r="H156" s="50">
        <f t="shared" si="41"/>
        <v>0</v>
      </c>
      <c r="I156" s="50">
        <f>SUM(I157:I159)</f>
        <v>0</v>
      </c>
      <c r="J156" s="50">
        <f>SUM(J157:J159)</f>
        <v>0</v>
      </c>
      <c r="K156" s="38">
        <f>SUM(K157:K159)</f>
        <v>0</v>
      </c>
    </row>
    <row r="157" spans="1:11" ht="19.95" hidden="1" customHeight="1">
      <c r="A157" s="69"/>
      <c r="B157" s="70"/>
      <c r="C157" s="20" t="s">
        <v>8</v>
      </c>
      <c r="D157" s="13">
        <f t="shared" si="40"/>
        <v>30494</v>
      </c>
      <c r="E157" s="14">
        <v>30494</v>
      </c>
      <c r="F157" s="14">
        <v>856</v>
      </c>
      <c r="G157" s="14"/>
      <c r="H157" s="48">
        <f t="shared" si="41"/>
        <v>0</v>
      </c>
      <c r="I157" s="46"/>
      <c r="J157" s="46">
        <v>0</v>
      </c>
      <c r="K157" s="35">
        <v>0</v>
      </c>
    </row>
    <row r="158" spans="1:11" ht="18" hidden="1" customHeight="1">
      <c r="A158" s="69"/>
      <c r="B158" s="70"/>
      <c r="C158" s="20" t="s">
        <v>6</v>
      </c>
      <c r="D158" s="13">
        <f t="shared" si="40"/>
        <v>1160</v>
      </c>
      <c r="E158" s="14">
        <v>1160</v>
      </c>
      <c r="F158" s="14"/>
      <c r="G158" s="14"/>
      <c r="H158" s="48">
        <f t="shared" si="41"/>
        <v>0</v>
      </c>
      <c r="I158" s="46"/>
      <c r="J158" s="46"/>
      <c r="K158" s="35"/>
    </row>
    <row r="159" spans="1:11" ht="18" hidden="1" customHeight="1">
      <c r="A159" s="69"/>
      <c r="B159" s="70"/>
      <c r="C159" s="20" t="s">
        <v>3</v>
      </c>
      <c r="D159" s="13">
        <f t="shared" si="40"/>
        <v>0</v>
      </c>
      <c r="E159" s="14"/>
      <c r="F159" s="14"/>
      <c r="G159" s="14"/>
      <c r="H159" s="48">
        <f t="shared" si="41"/>
        <v>0</v>
      </c>
      <c r="I159" s="46"/>
      <c r="J159" s="46">
        <v>0</v>
      </c>
      <c r="K159" s="35">
        <v>0</v>
      </c>
    </row>
    <row r="160" spans="1:11" ht="30" customHeight="1">
      <c r="A160" s="58">
        <v>5</v>
      </c>
      <c r="B160" s="60" t="s">
        <v>27</v>
      </c>
      <c r="C160" s="58" t="s">
        <v>8</v>
      </c>
      <c r="D160" s="11">
        <f t="shared" si="40"/>
        <v>2892</v>
      </c>
      <c r="E160" s="12">
        <v>2892</v>
      </c>
      <c r="F160" s="12"/>
      <c r="G160" s="12"/>
      <c r="H160" s="49">
        <f t="shared" si="41"/>
        <v>2175</v>
      </c>
      <c r="I160" s="50">
        <v>2175</v>
      </c>
      <c r="J160" s="50">
        <v>0</v>
      </c>
      <c r="K160" s="38">
        <v>0</v>
      </c>
    </row>
    <row r="161" spans="1:11" ht="21.6" customHeight="1">
      <c r="A161" s="71" t="s">
        <v>79</v>
      </c>
      <c r="B161" s="71"/>
      <c r="C161" s="72"/>
      <c r="D161" s="10">
        <f t="shared" ref="D161" si="43">E161+G161</f>
        <v>574248</v>
      </c>
      <c r="E161" s="10">
        <f>E163+E170+E174</f>
        <v>574248</v>
      </c>
      <c r="F161" s="10">
        <f>F163+F170+F174</f>
        <v>374199</v>
      </c>
      <c r="G161" s="10">
        <f>G163+G170+G174</f>
        <v>0</v>
      </c>
      <c r="H161" s="45">
        <f t="shared" ref="H161" si="44">I161+K161</f>
        <v>1151916</v>
      </c>
      <c r="I161" s="45">
        <f>I163+I170+I174</f>
        <v>1149936</v>
      </c>
      <c r="J161" s="45">
        <f>J163+J170+J174</f>
        <v>1021587</v>
      </c>
      <c r="K161" s="37">
        <f>K163+K170+K174</f>
        <v>1980</v>
      </c>
    </row>
    <row r="162" spans="1:11" ht="15" hidden="1" customHeight="1">
      <c r="A162" s="67"/>
      <c r="B162" s="67"/>
      <c r="C162" s="68"/>
      <c r="D162" s="11"/>
      <c r="E162" s="12"/>
      <c r="F162" s="12"/>
      <c r="G162" s="12"/>
      <c r="H162" s="49"/>
      <c r="I162" s="50"/>
      <c r="J162" s="50"/>
      <c r="K162" s="38"/>
    </row>
    <row r="163" spans="1:11" ht="19.2" customHeight="1">
      <c r="A163" s="69">
        <v>1</v>
      </c>
      <c r="B163" s="70" t="s">
        <v>78</v>
      </c>
      <c r="C163" s="24"/>
      <c r="D163" s="12">
        <f t="shared" ref="D163:D175" si="45">E163+G163</f>
        <v>547061</v>
      </c>
      <c r="E163" s="12">
        <f>SUM(E164:E169)</f>
        <v>547061</v>
      </c>
      <c r="F163" s="12">
        <f>SUM(F164:F169)</f>
        <v>373508</v>
      </c>
      <c r="G163" s="12">
        <f>SUM(G164:G169)</f>
        <v>0</v>
      </c>
      <c r="H163" s="50">
        <f t="shared" ref="H163:H175" si="46">I163+K163</f>
        <v>1149741</v>
      </c>
      <c r="I163" s="50">
        <f>SUM(I164:I169)</f>
        <v>1147761</v>
      </c>
      <c r="J163" s="50">
        <f>SUM(J164:J169)</f>
        <v>1021587</v>
      </c>
      <c r="K163" s="38">
        <f>SUM(K164:K169)</f>
        <v>1980</v>
      </c>
    </row>
    <row r="164" spans="1:11" ht="19.2" customHeight="1">
      <c r="A164" s="69"/>
      <c r="B164" s="70"/>
      <c r="C164" s="20" t="s">
        <v>3</v>
      </c>
      <c r="D164" s="13">
        <f t="shared" si="45"/>
        <v>132707</v>
      </c>
      <c r="E164" s="14">
        <v>132707</v>
      </c>
      <c r="F164" s="14">
        <v>71776</v>
      </c>
      <c r="G164" s="14"/>
      <c r="H164" s="48">
        <f t="shared" si="46"/>
        <v>297372</v>
      </c>
      <c r="I164" s="46">
        <v>295392</v>
      </c>
      <c r="J164" s="46">
        <v>216912</v>
      </c>
      <c r="K164" s="35">
        <v>1980</v>
      </c>
    </row>
    <row r="165" spans="1:11" ht="18" hidden="1" customHeight="1">
      <c r="A165" s="69"/>
      <c r="B165" s="70"/>
      <c r="C165" s="20" t="s">
        <v>4</v>
      </c>
      <c r="D165" s="13">
        <f t="shared" si="45"/>
        <v>0</v>
      </c>
      <c r="E165" s="14"/>
      <c r="F165" s="14"/>
      <c r="G165" s="14"/>
      <c r="H165" s="48">
        <f t="shared" si="46"/>
        <v>0</v>
      </c>
      <c r="I165" s="46"/>
      <c r="J165" s="46"/>
      <c r="K165" s="14"/>
    </row>
    <row r="166" spans="1:11" ht="19.2" customHeight="1">
      <c r="A166" s="69"/>
      <c r="B166" s="70"/>
      <c r="C166" s="20" t="s">
        <v>10</v>
      </c>
      <c r="D166" s="13">
        <f t="shared" si="45"/>
        <v>405747</v>
      </c>
      <c r="E166" s="14">
        <v>405747</v>
      </c>
      <c r="F166" s="14">
        <v>301732</v>
      </c>
      <c r="G166" s="14"/>
      <c r="H166" s="48">
        <f t="shared" si="46"/>
        <v>822645</v>
      </c>
      <c r="I166" s="46">
        <v>822645</v>
      </c>
      <c r="J166" s="46">
        <v>798925</v>
      </c>
      <c r="K166" s="35">
        <v>0</v>
      </c>
    </row>
    <row r="167" spans="1:11" ht="18" customHeight="1">
      <c r="A167" s="69"/>
      <c r="B167" s="70"/>
      <c r="C167" s="20" t="s">
        <v>11</v>
      </c>
      <c r="D167" s="13">
        <f t="shared" si="45"/>
        <v>0</v>
      </c>
      <c r="E167" s="14"/>
      <c r="F167" s="14"/>
      <c r="G167" s="14"/>
      <c r="H167" s="48">
        <f t="shared" si="46"/>
        <v>14498</v>
      </c>
      <c r="I167" s="46">
        <v>14498</v>
      </c>
      <c r="J167" s="46">
        <v>5240</v>
      </c>
      <c r="K167" s="14">
        <v>0</v>
      </c>
    </row>
    <row r="168" spans="1:11" ht="18" customHeight="1">
      <c r="A168" s="69"/>
      <c r="B168" s="70"/>
      <c r="C168" s="20" t="s">
        <v>77</v>
      </c>
      <c r="D168" s="13"/>
      <c r="E168" s="14"/>
      <c r="F168" s="14"/>
      <c r="G168" s="14"/>
      <c r="H168" s="48">
        <f t="shared" ref="H168" si="47">I168+K168</f>
        <v>6086</v>
      </c>
      <c r="I168" s="46">
        <v>6086</v>
      </c>
      <c r="J168" s="46">
        <v>0</v>
      </c>
      <c r="K168" s="14">
        <v>0</v>
      </c>
    </row>
    <row r="169" spans="1:11" ht="18" customHeight="1">
      <c r="A169" s="69"/>
      <c r="B169" s="70"/>
      <c r="C169" s="20" t="s">
        <v>5</v>
      </c>
      <c r="D169" s="13">
        <f t="shared" si="45"/>
        <v>8607</v>
      </c>
      <c r="E169" s="14">
        <v>8607</v>
      </c>
      <c r="F169" s="14"/>
      <c r="G169" s="14"/>
      <c r="H169" s="48">
        <f t="shared" si="46"/>
        <v>9140</v>
      </c>
      <c r="I169" s="46">
        <v>9140</v>
      </c>
      <c r="J169" s="46">
        <v>510</v>
      </c>
      <c r="K169" s="14">
        <v>0</v>
      </c>
    </row>
    <row r="170" spans="1:11" ht="18" hidden="1" customHeight="1">
      <c r="A170" s="69">
        <v>4</v>
      </c>
      <c r="B170" s="70" t="s">
        <v>26</v>
      </c>
      <c r="C170" s="24" t="s">
        <v>3</v>
      </c>
      <c r="D170" s="12">
        <f t="shared" si="45"/>
        <v>26109</v>
      </c>
      <c r="E170" s="12">
        <f>SUM(E171:E173)</f>
        <v>26109</v>
      </c>
      <c r="F170" s="12">
        <f>SUM(F171:F173)</f>
        <v>691</v>
      </c>
      <c r="G170" s="12">
        <f>SUM(G171:G173)</f>
        <v>0</v>
      </c>
      <c r="H170" s="50">
        <f t="shared" si="46"/>
        <v>0</v>
      </c>
      <c r="I170" s="50"/>
      <c r="J170" s="50">
        <f>SUM(J171:J173)</f>
        <v>0</v>
      </c>
      <c r="K170" s="17">
        <f>SUM(K171:K173)</f>
        <v>0</v>
      </c>
    </row>
    <row r="171" spans="1:11" ht="18" hidden="1" customHeight="1">
      <c r="A171" s="69"/>
      <c r="B171" s="70"/>
      <c r="C171" s="20" t="s">
        <v>8</v>
      </c>
      <c r="D171" s="13">
        <f t="shared" si="45"/>
        <v>24705</v>
      </c>
      <c r="E171" s="14">
        <v>24705</v>
      </c>
      <c r="F171" s="14">
        <v>691</v>
      </c>
      <c r="G171" s="14"/>
      <c r="H171" s="48">
        <f t="shared" si="46"/>
        <v>0</v>
      </c>
      <c r="I171" s="46"/>
      <c r="J171" s="46">
        <v>0</v>
      </c>
      <c r="K171" s="14">
        <v>0</v>
      </c>
    </row>
    <row r="172" spans="1:11" ht="18" hidden="1" customHeight="1">
      <c r="A172" s="69"/>
      <c r="B172" s="70"/>
      <c r="C172" s="20" t="s">
        <v>6</v>
      </c>
      <c r="D172" s="13">
        <f t="shared" si="45"/>
        <v>78</v>
      </c>
      <c r="E172" s="14">
        <v>78</v>
      </c>
      <c r="F172" s="14"/>
      <c r="G172" s="14"/>
      <c r="H172" s="48">
        <f t="shared" si="46"/>
        <v>0</v>
      </c>
      <c r="I172" s="46"/>
      <c r="J172" s="46"/>
      <c r="K172" s="14"/>
    </row>
    <row r="173" spans="1:11" ht="18" hidden="1" customHeight="1">
      <c r="A173" s="69"/>
      <c r="B173" s="70"/>
      <c r="C173" s="20" t="s">
        <v>3</v>
      </c>
      <c r="D173" s="13">
        <f t="shared" si="45"/>
        <v>1326</v>
      </c>
      <c r="E173" s="14">
        <v>1326</v>
      </c>
      <c r="F173" s="14"/>
      <c r="G173" s="14"/>
      <c r="H173" s="48">
        <f t="shared" si="46"/>
        <v>0</v>
      </c>
      <c r="I173" s="46"/>
      <c r="J173" s="46">
        <v>0</v>
      </c>
      <c r="K173" s="14">
        <v>0</v>
      </c>
    </row>
    <row r="174" spans="1:11" ht="32.25" customHeight="1">
      <c r="A174" s="58">
        <v>5</v>
      </c>
      <c r="B174" s="60" t="s">
        <v>27</v>
      </c>
      <c r="C174" s="20" t="s">
        <v>8</v>
      </c>
      <c r="D174" s="11">
        <f t="shared" si="45"/>
        <v>1078</v>
      </c>
      <c r="E174" s="12">
        <v>1078</v>
      </c>
      <c r="F174" s="12"/>
      <c r="G174" s="12"/>
      <c r="H174" s="49">
        <f t="shared" si="46"/>
        <v>2175</v>
      </c>
      <c r="I174" s="50">
        <v>2175</v>
      </c>
      <c r="J174" s="50">
        <v>0</v>
      </c>
      <c r="K174" s="17">
        <v>0</v>
      </c>
    </row>
    <row r="175" spans="1:11" ht="24" hidden="1" customHeight="1">
      <c r="A175" s="71" t="s">
        <v>82</v>
      </c>
      <c r="B175" s="71"/>
      <c r="C175" s="72"/>
      <c r="D175" s="10">
        <f t="shared" si="45"/>
        <v>194702</v>
      </c>
      <c r="E175" s="10">
        <f>E177+E183+E186</f>
        <v>193702</v>
      </c>
      <c r="F175" s="10">
        <f>F177+F183+F186</f>
        <v>124977</v>
      </c>
      <c r="G175" s="10">
        <f>G177+G183+G186</f>
        <v>1000</v>
      </c>
      <c r="H175" s="45">
        <f t="shared" si="46"/>
        <v>0</v>
      </c>
      <c r="I175" s="45">
        <f>I177+I183+I186</f>
        <v>0</v>
      </c>
      <c r="J175" s="45">
        <f>J177+J183+J186</f>
        <v>0</v>
      </c>
      <c r="K175" s="41">
        <f>K177+K183+K186</f>
        <v>0</v>
      </c>
    </row>
    <row r="176" spans="1:11" ht="15" hidden="1" customHeight="1">
      <c r="A176" s="67"/>
      <c r="B176" s="67"/>
      <c r="C176" s="68"/>
      <c r="D176" s="11"/>
      <c r="E176" s="12"/>
      <c r="F176" s="12"/>
      <c r="G176" s="12"/>
      <c r="H176" s="49"/>
      <c r="I176" s="50"/>
      <c r="J176" s="50"/>
      <c r="K176" s="38"/>
    </row>
    <row r="177" spans="1:11" ht="18" hidden="1" customHeight="1">
      <c r="A177" s="69">
        <v>1</v>
      </c>
      <c r="B177" s="70" t="s">
        <v>78</v>
      </c>
      <c r="C177" s="24"/>
      <c r="D177" s="12">
        <f t="shared" ref="D177:D186" si="48">E177+G177</f>
        <v>186719</v>
      </c>
      <c r="E177" s="12">
        <f>SUM(E178:E182)</f>
        <v>185719</v>
      </c>
      <c r="F177" s="12">
        <f>SUM(F178:F182)</f>
        <v>124774</v>
      </c>
      <c r="G177" s="12">
        <f>SUM(G178:G182)</f>
        <v>1000</v>
      </c>
      <c r="H177" s="50">
        <f t="shared" ref="H177:H186" si="49">I177+K177</f>
        <v>0</v>
      </c>
      <c r="I177" s="50">
        <f>SUM(I178:I182)</f>
        <v>0</v>
      </c>
      <c r="J177" s="50">
        <f>SUM(J178:J182)</f>
        <v>0</v>
      </c>
      <c r="K177" s="38">
        <f>SUM(K178:K182)</f>
        <v>0</v>
      </c>
    </row>
    <row r="178" spans="1:11" ht="19.95" hidden="1" customHeight="1">
      <c r="A178" s="69"/>
      <c r="B178" s="70"/>
      <c r="C178" s="20" t="s">
        <v>3</v>
      </c>
      <c r="D178" s="13">
        <f t="shared" si="48"/>
        <v>68517</v>
      </c>
      <c r="E178" s="14">
        <v>68517</v>
      </c>
      <c r="F178" s="14">
        <v>37651</v>
      </c>
      <c r="G178" s="14"/>
      <c r="H178" s="48">
        <f t="shared" si="49"/>
        <v>0</v>
      </c>
      <c r="I178" s="46"/>
      <c r="J178" s="46"/>
      <c r="K178" s="35">
        <v>0</v>
      </c>
    </row>
    <row r="179" spans="1:11" ht="18" hidden="1" customHeight="1">
      <c r="A179" s="69"/>
      <c r="B179" s="70"/>
      <c r="C179" s="20" t="s">
        <v>4</v>
      </c>
      <c r="D179" s="13">
        <f t="shared" si="48"/>
        <v>0</v>
      </c>
      <c r="E179" s="14"/>
      <c r="F179" s="14"/>
      <c r="G179" s="14"/>
      <c r="H179" s="48">
        <f t="shared" si="49"/>
        <v>0</v>
      </c>
      <c r="I179" s="46"/>
      <c r="J179" s="46"/>
      <c r="K179" s="35"/>
    </row>
    <row r="180" spans="1:11" ht="20.399999999999999" hidden="1" customHeight="1">
      <c r="A180" s="69"/>
      <c r="B180" s="70"/>
      <c r="C180" s="20" t="s">
        <v>10</v>
      </c>
      <c r="D180" s="13">
        <f t="shared" si="48"/>
        <v>116491</v>
      </c>
      <c r="E180" s="14">
        <v>115491</v>
      </c>
      <c r="F180" s="14">
        <v>87123</v>
      </c>
      <c r="G180" s="14">
        <v>1000</v>
      </c>
      <c r="H180" s="48">
        <f t="shared" si="49"/>
        <v>0</v>
      </c>
      <c r="I180" s="46"/>
      <c r="J180" s="46"/>
      <c r="K180" s="35">
        <v>0</v>
      </c>
    </row>
    <row r="181" spans="1:11" ht="18" hidden="1" customHeight="1">
      <c r="A181" s="69"/>
      <c r="B181" s="70"/>
      <c r="C181" s="20" t="s">
        <v>11</v>
      </c>
      <c r="D181" s="13">
        <f t="shared" si="48"/>
        <v>0</v>
      </c>
      <c r="E181" s="14"/>
      <c r="F181" s="14"/>
      <c r="G181" s="14"/>
      <c r="H181" s="48">
        <f t="shared" si="49"/>
        <v>0</v>
      </c>
      <c r="I181" s="46"/>
      <c r="J181" s="46"/>
      <c r="K181" s="35">
        <v>0</v>
      </c>
    </row>
    <row r="182" spans="1:11" ht="18" hidden="1" customHeight="1">
      <c r="A182" s="69"/>
      <c r="B182" s="70"/>
      <c r="C182" s="20" t="s">
        <v>5</v>
      </c>
      <c r="D182" s="13">
        <f t="shared" si="48"/>
        <v>1711</v>
      </c>
      <c r="E182" s="14">
        <v>1711</v>
      </c>
      <c r="F182" s="14"/>
      <c r="G182" s="14"/>
      <c r="H182" s="48">
        <f t="shared" si="49"/>
        <v>0</v>
      </c>
      <c r="I182" s="46"/>
      <c r="J182" s="46"/>
      <c r="K182" s="35">
        <v>0</v>
      </c>
    </row>
    <row r="183" spans="1:11" ht="18" hidden="1" customHeight="1">
      <c r="A183" s="69">
        <v>4</v>
      </c>
      <c r="B183" s="70" t="s">
        <v>26</v>
      </c>
      <c r="C183" s="20"/>
      <c r="D183" s="12">
        <f t="shared" si="48"/>
        <v>7266</v>
      </c>
      <c r="E183" s="12">
        <f>SUM(E184:E185)</f>
        <v>7266</v>
      </c>
      <c r="F183" s="12">
        <f>SUM(F184:F186)</f>
        <v>203</v>
      </c>
      <c r="G183" s="12">
        <f>SUM(G184:G186)</f>
        <v>0</v>
      </c>
      <c r="H183" s="50">
        <f t="shared" si="49"/>
        <v>0</v>
      </c>
      <c r="I183" s="50">
        <f>SUM(I184:I185)</f>
        <v>0</v>
      </c>
      <c r="J183" s="50">
        <f>SUM(J184:J186)</f>
        <v>0</v>
      </c>
      <c r="K183" s="38">
        <f>SUM(K184:K186)</f>
        <v>0</v>
      </c>
    </row>
    <row r="184" spans="1:11" ht="30" hidden="1" customHeight="1">
      <c r="A184" s="69"/>
      <c r="B184" s="70"/>
      <c r="C184" s="20" t="s">
        <v>8</v>
      </c>
      <c r="D184" s="13">
        <f t="shared" si="48"/>
        <v>7072</v>
      </c>
      <c r="E184" s="14">
        <v>7072</v>
      </c>
      <c r="F184" s="14">
        <v>203</v>
      </c>
      <c r="G184" s="14"/>
      <c r="H184" s="49">
        <f t="shared" si="49"/>
        <v>0</v>
      </c>
      <c r="I184" s="50">
        <v>0</v>
      </c>
      <c r="J184" s="50">
        <v>0</v>
      </c>
      <c r="K184" s="38">
        <v>0</v>
      </c>
    </row>
    <row r="185" spans="1:11" ht="18" hidden="1" customHeight="1">
      <c r="A185" s="69"/>
      <c r="B185" s="70"/>
      <c r="C185" s="20" t="s">
        <v>6</v>
      </c>
      <c r="D185" s="13">
        <f t="shared" si="48"/>
        <v>194</v>
      </c>
      <c r="E185" s="14">
        <v>194</v>
      </c>
      <c r="F185" s="14"/>
      <c r="G185" s="14"/>
      <c r="H185" s="48">
        <f t="shared" si="49"/>
        <v>0</v>
      </c>
      <c r="I185" s="46"/>
      <c r="J185" s="46"/>
      <c r="K185" s="35"/>
    </row>
    <row r="186" spans="1:11" ht="28.2" hidden="1" customHeight="1">
      <c r="A186" s="58">
        <v>5</v>
      </c>
      <c r="B186" s="60" t="s">
        <v>27</v>
      </c>
      <c r="C186" s="20" t="s">
        <v>8</v>
      </c>
      <c r="D186" s="11">
        <f t="shared" si="48"/>
        <v>717</v>
      </c>
      <c r="E186" s="12">
        <v>717</v>
      </c>
      <c r="F186" s="15"/>
      <c r="G186" s="15"/>
      <c r="H186" s="49">
        <f t="shared" si="49"/>
        <v>0</v>
      </c>
      <c r="I186" s="50"/>
      <c r="J186" s="50">
        <v>0</v>
      </c>
      <c r="K186" s="38">
        <v>0</v>
      </c>
    </row>
    <row r="187" spans="1:11" s="4" customFormat="1" ht="16.2" hidden="1" customHeight="1">
      <c r="A187" s="58"/>
      <c r="B187" s="60"/>
      <c r="C187" s="20"/>
      <c r="D187" s="11"/>
      <c r="E187" s="12"/>
      <c r="F187" s="15"/>
      <c r="G187" s="15"/>
      <c r="H187" s="49"/>
      <c r="I187" s="50"/>
      <c r="J187" s="46"/>
      <c r="K187" s="35"/>
    </row>
    <row r="188" spans="1:11" ht="20.399999999999999" customHeight="1">
      <c r="A188" s="71" t="s">
        <v>16</v>
      </c>
      <c r="B188" s="71"/>
      <c r="C188" s="72"/>
      <c r="D188" s="10">
        <f>E188+G188</f>
        <v>427754</v>
      </c>
      <c r="E188" s="10">
        <f>E190+E196+E198</f>
        <v>427320</v>
      </c>
      <c r="F188" s="10">
        <f>F190+F196+F198</f>
        <v>272987</v>
      </c>
      <c r="G188" s="10">
        <f>G190+G196+G198</f>
        <v>434</v>
      </c>
      <c r="H188" s="45">
        <f>I188+K188</f>
        <v>654164</v>
      </c>
      <c r="I188" s="45">
        <f>I190+I196+I198</f>
        <v>650413</v>
      </c>
      <c r="J188" s="45">
        <f>J190+J196+J198</f>
        <v>575061</v>
      </c>
      <c r="K188" s="37">
        <f>K190+K196+K198+K197</f>
        <v>3751</v>
      </c>
    </row>
    <row r="189" spans="1:11" ht="15" hidden="1" customHeight="1">
      <c r="A189" s="67"/>
      <c r="B189" s="67"/>
      <c r="C189" s="68"/>
      <c r="D189" s="11"/>
      <c r="E189" s="12"/>
      <c r="F189" s="12"/>
      <c r="G189" s="12"/>
      <c r="H189" s="49"/>
      <c r="I189" s="50"/>
      <c r="J189" s="50"/>
      <c r="K189" s="38"/>
    </row>
    <row r="190" spans="1:11" ht="18" customHeight="1">
      <c r="A190" s="69">
        <v>1</v>
      </c>
      <c r="B190" s="70" t="s">
        <v>78</v>
      </c>
      <c r="C190" s="24"/>
      <c r="D190" s="12">
        <f t="shared" ref="D190:D199" si="50">E190+G190</f>
        <v>425537</v>
      </c>
      <c r="E190" s="12">
        <f>SUM(E191:E195)</f>
        <v>425103</v>
      </c>
      <c r="F190" s="12">
        <f>SUM(F191:F195)</f>
        <v>272987</v>
      </c>
      <c r="G190" s="12">
        <f>SUM(G191:G195)</f>
        <v>434</v>
      </c>
      <c r="H190" s="50">
        <f t="shared" ref="H190:H199" si="51">I190+K190</f>
        <v>647888</v>
      </c>
      <c r="I190" s="50">
        <f>SUM(I191:I195)</f>
        <v>647888</v>
      </c>
      <c r="J190" s="50">
        <f>SUM(J191:J195)</f>
        <v>575061</v>
      </c>
      <c r="K190" s="38">
        <f>SUM(K191:K195)</f>
        <v>0</v>
      </c>
    </row>
    <row r="191" spans="1:11" ht="18" customHeight="1">
      <c r="A191" s="69"/>
      <c r="B191" s="70"/>
      <c r="C191" s="20" t="s">
        <v>3</v>
      </c>
      <c r="D191" s="13">
        <f t="shared" si="50"/>
        <v>151447</v>
      </c>
      <c r="E191" s="14">
        <v>151447</v>
      </c>
      <c r="F191" s="14">
        <v>73316</v>
      </c>
      <c r="G191" s="14"/>
      <c r="H191" s="48">
        <f t="shared" si="51"/>
        <v>200860</v>
      </c>
      <c r="I191" s="46">
        <v>200860</v>
      </c>
      <c r="J191" s="46">
        <v>146475</v>
      </c>
      <c r="K191" s="35">
        <v>0</v>
      </c>
    </row>
    <row r="192" spans="1:11" ht="18" hidden="1" customHeight="1">
      <c r="A192" s="69"/>
      <c r="B192" s="70"/>
      <c r="C192" s="20" t="s">
        <v>3</v>
      </c>
      <c r="D192" s="13">
        <f t="shared" si="50"/>
        <v>0</v>
      </c>
      <c r="E192" s="14"/>
      <c r="F192" s="14"/>
      <c r="G192" s="14"/>
      <c r="H192" s="48">
        <f t="shared" si="51"/>
        <v>0</v>
      </c>
      <c r="I192" s="46"/>
      <c r="J192" s="46"/>
      <c r="K192" s="35"/>
    </row>
    <row r="193" spans="1:11" ht="18" customHeight="1">
      <c r="A193" s="69"/>
      <c r="B193" s="70"/>
      <c r="C193" s="20" t="s">
        <v>10</v>
      </c>
      <c r="D193" s="13">
        <f t="shared" si="50"/>
        <v>266350</v>
      </c>
      <c r="E193" s="14">
        <v>265916</v>
      </c>
      <c r="F193" s="14">
        <v>199671</v>
      </c>
      <c r="G193" s="14">
        <v>434</v>
      </c>
      <c r="H193" s="48">
        <f t="shared" si="51"/>
        <v>437490</v>
      </c>
      <c r="I193" s="46">
        <v>437490</v>
      </c>
      <c r="J193" s="46">
        <v>426150</v>
      </c>
      <c r="K193" s="35">
        <v>0</v>
      </c>
    </row>
    <row r="194" spans="1:11" ht="18" customHeight="1">
      <c r="A194" s="69"/>
      <c r="B194" s="70"/>
      <c r="C194" s="20" t="s">
        <v>11</v>
      </c>
      <c r="D194" s="13">
        <f t="shared" si="50"/>
        <v>0</v>
      </c>
      <c r="E194" s="14"/>
      <c r="F194" s="14"/>
      <c r="G194" s="14"/>
      <c r="H194" s="48">
        <f t="shared" si="51"/>
        <v>5678</v>
      </c>
      <c r="I194" s="46">
        <v>5678</v>
      </c>
      <c r="J194" s="46">
        <v>1681</v>
      </c>
      <c r="K194" s="35">
        <v>0</v>
      </c>
    </row>
    <row r="195" spans="1:11" ht="18" customHeight="1">
      <c r="A195" s="69"/>
      <c r="B195" s="70"/>
      <c r="C195" s="20" t="s">
        <v>5</v>
      </c>
      <c r="D195" s="13">
        <f t="shared" si="50"/>
        <v>7740</v>
      </c>
      <c r="E195" s="14">
        <v>7740</v>
      </c>
      <c r="F195" s="14"/>
      <c r="G195" s="14"/>
      <c r="H195" s="48">
        <f t="shared" si="51"/>
        <v>3860</v>
      </c>
      <c r="I195" s="46">
        <v>3860</v>
      </c>
      <c r="J195" s="46">
        <v>755</v>
      </c>
      <c r="K195" s="35">
        <v>0</v>
      </c>
    </row>
    <row r="196" spans="1:11" ht="18" hidden="1" customHeight="1">
      <c r="A196" s="69">
        <v>2</v>
      </c>
      <c r="B196" s="70" t="s">
        <v>24</v>
      </c>
      <c r="C196" s="20"/>
      <c r="D196" s="12">
        <f t="shared" si="50"/>
        <v>416</v>
      </c>
      <c r="E196" s="12">
        <f>SUM(E197:E197)</f>
        <v>416</v>
      </c>
      <c r="F196" s="12">
        <f>SUM(F197:F198)</f>
        <v>0</v>
      </c>
      <c r="G196" s="12">
        <f>SUM(G197:G198)</f>
        <v>0</v>
      </c>
      <c r="H196" s="50">
        <f t="shared" si="51"/>
        <v>0</v>
      </c>
      <c r="I196" s="50">
        <f>++I197</f>
        <v>0</v>
      </c>
      <c r="J196" s="50">
        <f>SUM(J197:J198)</f>
        <v>0</v>
      </c>
      <c r="K196" s="38"/>
    </row>
    <row r="197" spans="1:11" ht="33.6" customHeight="1">
      <c r="A197" s="69"/>
      <c r="B197" s="70"/>
      <c r="C197" s="20" t="s">
        <v>3</v>
      </c>
      <c r="D197" s="13">
        <f t="shared" si="50"/>
        <v>416</v>
      </c>
      <c r="E197" s="14">
        <v>416</v>
      </c>
      <c r="F197" s="14"/>
      <c r="G197" s="14"/>
      <c r="H197" s="49">
        <f t="shared" si="51"/>
        <v>3751</v>
      </c>
      <c r="I197" s="50">
        <v>0</v>
      </c>
      <c r="J197" s="50">
        <v>0</v>
      </c>
      <c r="K197" s="38">
        <v>3751</v>
      </c>
    </row>
    <row r="198" spans="1:11" ht="33.6" customHeight="1">
      <c r="A198" s="58">
        <v>5</v>
      </c>
      <c r="B198" s="60" t="s">
        <v>27</v>
      </c>
      <c r="C198" s="20" t="s">
        <v>8</v>
      </c>
      <c r="D198" s="11">
        <f t="shared" si="50"/>
        <v>1801</v>
      </c>
      <c r="E198" s="12">
        <v>1801</v>
      </c>
      <c r="F198" s="15"/>
      <c r="G198" s="15"/>
      <c r="H198" s="49">
        <f t="shared" si="51"/>
        <v>2525</v>
      </c>
      <c r="I198" s="50">
        <v>2525</v>
      </c>
      <c r="J198" s="50">
        <v>0</v>
      </c>
      <c r="K198" s="38">
        <v>0</v>
      </c>
    </row>
    <row r="199" spans="1:11" ht="24.6" hidden="1" customHeight="1">
      <c r="A199" s="71" t="s">
        <v>80</v>
      </c>
      <c r="B199" s="71"/>
      <c r="C199" s="72"/>
      <c r="D199" s="10">
        <f t="shared" si="50"/>
        <v>234087</v>
      </c>
      <c r="E199" s="10">
        <f>E201+E207+E210</f>
        <v>234087</v>
      </c>
      <c r="F199" s="10">
        <f>F201+F207+F210</f>
        <v>152716</v>
      </c>
      <c r="G199" s="10">
        <f>G201+G207+G210</f>
        <v>0</v>
      </c>
      <c r="H199" s="45">
        <f t="shared" si="51"/>
        <v>0</v>
      </c>
      <c r="I199" s="45">
        <f>I201+I207+I210</f>
        <v>0</v>
      </c>
      <c r="J199" s="45">
        <f>J201+J207+J210</f>
        <v>0</v>
      </c>
      <c r="K199" s="37">
        <f>K201+K207+K210</f>
        <v>0</v>
      </c>
    </row>
    <row r="200" spans="1:11" ht="15" hidden="1" customHeight="1">
      <c r="A200" s="67"/>
      <c r="B200" s="67"/>
      <c r="C200" s="68"/>
      <c r="D200" s="11"/>
      <c r="E200" s="12"/>
      <c r="F200" s="12"/>
      <c r="G200" s="12"/>
      <c r="H200" s="49"/>
      <c r="I200" s="50"/>
      <c r="J200" s="50"/>
      <c r="K200" s="38"/>
    </row>
    <row r="201" spans="1:11" ht="18" hidden="1" customHeight="1">
      <c r="A201" s="69">
        <v>1</v>
      </c>
      <c r="B201" s="70" t="s">
        <v>78</v>
      </c>
      <c r="C201" s="24"/>
      <c r="D201" s="12">
        <f t="shared" ref="D201:D211" si="52">E201+G201</f>
        <v>224369</v>
      </c>
      <c r="E201" s="12">
        <f>SUM(E202:E206)</f>
        <v>224369</v>
      </c>
      <c r="F201" s="12">
        <f>SUM(F202:F206)</f>
        <v>152465</v>
      </c>
      <c r="G201" s="12">
        <f>SUM(G202:G206)</f>
        <v>0</v>
      </c>
      <c r="H201" s="50">
        <f t="shared" ref="H201:H211" si="53">I201+K201</f>
        <v>0</v>
      </c>
      <c r="I201" s="50">
        <f>SUM(I202:I206)</f>
        <v>0</v>
      </c>
      <c r="J201" s="50">
        <f>SUM(J202:J206)</f>
        <v>0</v>
      </c>
      <c r="K201" s="38">
        <f>SUM(K202:K206)</f>
        <v>0</v>
      </c>
    </row>
    <row r="202" spans="1:11" ht="18" hidden="1" customHeight="1">
      <c r="A202" s="69"/>
      <c r="B202" s="70"/>
      <c r="C202" s="20" t="s">
        <v>3</v>
      </c>
      <c r="D202" s="13">
        <f t="shared" si="52"/>
        <v>59606</v>
      </c>
      <c r="E202" s="14">
        <v>59606</v>
      </c>
      <c r="F202" s="14">
        <v>32044</v>
      </c>
      <c r="G202" s="14"/>
      <c r="H202" s="48">
        <f t="shared" si="53"/>
        <v>0</v>
      </c>
      <c r="I202" s="46"/>
      <c r="J202" s="46"/>
      <c r="K202" s="35">
        <v>0</v>
      </c>
    </row>
    <row r="203" spans="1:11" ht="18" hidden="1" customHeight="1">
      <c r="A203" s="69"/>
      <c r="B203" s="70"/>
      <c r="C203" s="20" t="s">
        <v>3</v>
      </c>
      <c r="D203" s="13">
        <f t="shared" si="52"/>
        <v>0</v>
      </c>
      <c r="E203" s="14"/>
      <c r="F203" s="14"/>
      <c r="G203" s="14"/>
      <c r="H203" s="48">
        <f t="shared" si="53"/>
        <v>0</v>
      </c>
      <c r="I203" s="46"/>
      <c r="J203" s="46"/>
      <c r="K203" s="35"/>
    </row>
    <row r="204" spans="1:11" ht="18" hidden="1" customHeight="1">
      <c r="A204" s="69"/>
      <c r="B204" s="70"/>
      <c r="C204" s="20" t="s">
        <v>10</v>
      </c>
      <c r="D204" s="13">
        <f t="shared" si="52"/>
        <v>161164</v>
      </c>
      <c r="E204" s="14">
        <v>161164</v>
      </c>
      <c r="F204" s="14">
        <v>120421</v>
      </c>
      <c r="G204" s="14"/>
      <c r="H204" s="48">
        <f t="shared" si="53"/>
        <v>0</v>
      </c>
      <c r="I204" s="46"/>
      <c r="J204" s="46"/>
      <c r="K204" s="35">
        <v>0</v>
      </c>
    </row>
    <row r="205" spans="1:11" ht="18" hidden="1" customHeight="1">
      <c r="A205" s="69"/>
      <c r="B205" s="70"/>
      <c r="C205" s="20" t="s">
        <v>11</v>
      </c>
      <c r="D205" s="13">
        <f t="shared" si="52"/>
        <v>0</v>
      </c>
      <c r="E205" s="14"/>
      <c r="F205" s="14"/>
      <c r="G205" s="14"/>
      <c r="H205" s="48">
        <f t="shared" si="53"/>
        <v>0</v>
      </c>
      <c r="I205" s="46"/>
      <c r="J205" s="46"/>
      <c r="K205" s="35">
        <v>0</v>
      </c>
    </row>
    <row r="206" spans="1:11" ht="18" hidden="1" customHeight="1">
      <c r="A206" s="69"/>
      <c r="B206" s="70"/>
      <c r="C206" s="20" t="s">
        <v>5</v>
      </c>
      <c r="D206" s="13">
        <f t="shared" si="52"/>
        <v>3599</v>
      </c>
      <c r="E206" s="14">
        <v>3599</v>
      </c>
      <c r="F206" s="14"/>
      <c r="G206" s="14"/>
      <c r="H206" s="48">
        <f t="shared" si="53"/>
        <v>0</v>
      </c>
      <c r="I206" s="46"/>
      <c r="J206" s="46"/>
      <c r="K206" s="35">
        <v>0</v>
      </c>
    </row>
    <row r="207" spans="1:11" ht="30" hidden="1" customHeight="1">
      <c r="A207" s="69">
        <v>4</v>
      </c>
      <c r="B207" s="70" t="s">
        <v>26</v>
      </c>
      <c r="C207" s="20" t="s">
        <v>8</v>
      </c>
      <c r="D207" s="12">
        <f t="shared" si="52"/>
        <v>8996</v>
      </c>
      <c r="E207" s="12">
        <f>SUM(E208:E209)</f>
        <v>8996</v>
      </c>
      <c r="F207" s="12">
        <f>SUM(F208:F210)</f>
        <v>251</v>
      </c>
      <c r="G207" s="12">
        <f>SUM(G208:G210)</f>
        <v>0</v>
      </c>
      <c r="H207" s="50">
        <f t="shared" si="53"/>
        <v>0</v>
      </c>
      <c r="I207" s="50"/>
      <c r="J207" s="50">
        <v>0</v>
      </c>
      <c r="K207" s="38">
        <f>SUM(K208:K210)</f>
        <v>0</v>
      </c>
    </row>
    <row r="208" spans="1:11" ht="18" hidden="1" customHeight="1">
      <c r="A208" s="69"/>
      <c r="B208" s="70"/>
      <c r="C208" s="20" t="s">
        <v>8</v>
      </c>
      <c r="D208" s="13">
        <f t="shared" si="52"/>
        <v>8747</v>
      </c>
      <c r="E208" s="14">
        <v>8747</v>
      </c>
      <c r="F208" s="14">
        <v>251</v>
      </c>
      <c r="G208" s="14"/>
      <c r="H208" s="48">
        <f t="shared" si="53"/>
        <v>0</v>
      </c>
      <c r="I208" s="46"/>
      <c r="J208" s="46"/>
      <c r="K208" s="35"/>
    </row>
    <row r="209" spans="1:11" ht="18" hidden="1" customHeight="1">
      <c r="A209" s="69"/>
      <c r="B209" s="70"/>
      <c r="C209" s="20" t="s">
        <v>6</v>
      </c>
      <c r="D209" s="13">
        <f t="shared" si="52"/>
        <v>249</v>
      </c>
      <c r="E209" s="14">
        <v>249</v>
      </c>
      <c r="F209" s="15"/>
      <c r="G209" s="15"/>
      <c r="H209" s="48">
        <f t="shared" si="53"/>
        <v>0</v>
      </c>
      <c r="I209" s="46"/>
      <c r="J209" s="46"/>
      <c r="K209" s="35"/>
    </row>
    <row r="210" spans="1:11" ht="30" hidden="1" customHeight="1">
      <c r="A210" s="58">
        <v>5</v>
      </c>
      <c r="B210" s="60" t="s">
        <v>27</v>
      </c>
      <c r="C210" s="20" t="s">
        <v>8</v>
      </c>
      <c r="D210" s="11">
        <f t="shared" si="52"/>
        <v>722</v>
      </c>
      <c r="E210" s="12">
        <v>722</v>
      </c>
      <c r="F210" s="15"/>
      <c r="G210" s="15"/>
      <c r="H210" s="49">
        <f t="shared" si="53"/>
        <v>0</v>
      </c>
      <c r="I210" s="50"/>
      <c r="J210" s="50">
        <v>0</v>
      </c>
      <c r="K210" s="38">
        <v>0</v>
      </c>
    </row>
    <row r="211" spans="1:11" ht="25.2" customHeight="1">
      <c r="A211" s="71" t="s">
        <v>17</v>
      </c>
      <c r="B211" s="71"/>
      <c r="C211" s="72"/>
      <c r="D211" s="10">
        <f t="shared" si="52"/>
        <v>37110</v>
      </c>
      <c r="E211" s="10">
        <f>E213+E214+E217</f>
        <v>36647</v>
      </c>
      <c r="F211" s="10">
        <f>F213+F214+F217</f>
        <v>21819</v>
      </c>
      <c r="G211" s="10">
        <f>G213+G214+G217+G218</f>
        <v>463</v>
      </c>
      <c r="H211" s="45">
        <f t="shared" si="53"/>
        <v>81211</v>
      </c>
      <c r="I211" s="45">
        <f>+I212+I218+I219</f>
        <v>72438</v>
      </c>
      <c r="J211" s="45">
        <f t="shared" ref="J211:K211" si="54">+J212+J218+J219</f>
        <v>51300</v>
      </c>
      <c r="K211" s="45">
        <f t="shared" si="54"/>
        <v>8773</v>
      </c>
    </row>
    <row r="212" spans="1:11" ht="15" customHeight="1">
      <c r="A212" s="79">
        <v>1</v>
      </c>
      <c r="B212" s="76" t="s">
        <v>78</v>
      </c>
      <c r="C212" s="30"/>
      <c r="D212" s="11">
        <f>+D213+D217</f>
        <v>37110</v>
      </c>
      <c r="E212" s="12">
        <f>+E213+E217</f>
        <v>36647</v>
      </c>
      <c r="F212" s="12">
        <f>+F213+F217</f>
        <v>21819</v>
      </c>
      <c r="G212" s="12">
        <f>+G213</f>
        <v>463</v>
      </c>
      <c r="H212" s="49">
        <f>+I212+K212</f>
        <v>71238</v>
      </c>
      <c r="I212" s="50">
        <f>+I213+I217+I214+I215+I216</f>
        <v>71238</v>
      </c>
      <c r="J212" s="50">
        <f t="shared" ref="J212:K212" si="55">+J213+J217+J214+J215+J216</f>
        <v>51300</v>
      </c>
      <c r="K212" s="38">
        <f t="shared" si="55"/>
        <v>0</v>
      </c>
    </row>
    <row r="213" spans="1:11" ht="18" customHeight="1">
      <c r="A213" s="80"/>
      <c r="B213" s="77"/>
      <c r="C213" s="20" t="s">
        <v>3</v>
      </c>
      <c r="D213" s="13">
        <f>E213+G213</f>
        <v>36212</v>
      </c>
      <c r="E213" s="14">
        <f>34631+1118</f>
        <v>35749</v>
      </c>
      <c r="F213" s="14">
        <f>20965+854</f>
        <v>21819</v>
      </c>
      <c r="G213" s="14">
        <v>463</v>
      </c>
      <c r="H213" s="48">
        <f t="shared" ref="H213:H218" si="56">I213+K213</f>
        <v>64540</v>
      </c>
      <c r="I213" s="46">
        <v>64540</v>
      </c>
      <c r="J213" s="46">
        <v>51300</v>
      </c>
      <c r="K213" s="35">
        <v>0</v>
      </c>
    </row>
    <row r="214" spans="1:11" ht="18" hidden="1" customHeight="1">
      <c r="A214" s="80"/>
      <c r="B214" s="77"/>
      <c r="C214" s="20" t="s">
        <v>10</v>
      </c>
      <c r="D214" s="13">
        <f>E214+G214</f>
        <v>0</v>
      </c>
      <c r="E214" s="14"/>
      <c r="F214" s="14"/>
      <c r="G214" s="14"/>
      <c r="H214" s="48">
        <f t="shared" si="56"/>
        <v>0</v>
      </c>
      <c r="I214" s="46"/>
      <c r="J214" s="46"/>
      <c r="K214" s="35">
        <v>0</v>
      </c>
    </row>
    <row r="215" spans="1:11" ht="18" hidden="1" customHeight="1">
      <c r="A215" s="80"/>
      <c r="B215" s="77"/>
      <c r="C215" s="20" t="s">
        <v>77</v>
      </c>
      <c r="D215" s="13"/>
      <c r="E215" s="14"/>
      <c r="F215" s="14"/>
      <c r="G215" s="14"/>
      <c r="H215" s="48">
        <f t="shared" si="56"/>
        <v>0</v>
      </c>
      <c r="I215" s="46"/>
      <c r="J215" s="46">
        <v>0</v>
      </c>
      <c r="K215" s="35">
        <v>0</v>
      </c>
    </row>
    <row r="216" spans="1:11" ht="18" customHeight="1">
      <c r="A216" s="80"/>
      <c r="B216" s="77"/>
      <c r="C216" s="20" t="s">
        <v>11</v>
      </c>
      <c r="D216" s="13"/>
      <c r="E216" s="14"/>
      <c r="F216" s="14"/>
      <c r="G216" s="14"/>
      <c r="H216" s="48">
        <f t="shared" ref="H216" si="57">I216+K216</f>
        <v>4488</v>
      </c>
      <c r="I216" s="46">
        <v>4488</v>
      </c>
      <c r="J216" s="46">
        <v>0</v>
      </c>
      <c r="K216" s="35">
        <v>0</v>
      </c>
    </row>
    <row r="217" spans="1:11" ht="18" customHeight="1">
      <c r="A217" s="81"/>
      <c r="B217" s="78"/>
      <c r="C217" s="20" t="s">
        <v>5</v>
      </c>
      <c r="D217" s="13">
        <f>E217+G217</f>
        <v>898</v>
      </c>
      <c r="E217" s="14">
        <v>898</v>
      </c>
      <c r="F217" s="14"/>
      <c r="G217" s="14"/>
      <c r="H217" s="48">
        <f t="shared" si="56"/>
        <v>2210</v>
      </c>
      <c r="I217" s="46">
        <v>2210</v>
      </c>
      <c r="J217" s="46">
        <v>0</v>
      </c>
      <c r="K217" s="35">
        <v>0</v>
      </c>
    </row>
    <row r="218" spans="1:11" ht="29.4" customHeight="1">
      <c r="A218" s="64">
        <v>2</v>
      </c>
      <c r="B218" s="65" t="s">
        <v>24</v>
      </c>
      <c r="C218" s="20" t="s">
        <v>3</v>
      </c>
      <c r="D218" s="25">
        <f>E218+G218</f>
        <v>0</v>
      </c>
      <c r="E218" s="17"/>
      <c r="F218" s="17"/>
      <c r="G218" s="17"/>
      <c r="H218" s="49">
        <f t="shared" si="56"/>
        <v>9973</v>
      </c>
      <c r="I218" s="50">
        <v>1200</v>
      </c>
      <c r="J218" s="50">
        <v>0</v>
      </c>
      <c r="K218" s="38">
        <v>8773</v>
      </c>
    </row>
    <row r="219" spans="1:11" ht="29.4" hidden="1" customHeight="1">
      <c r="A219" s="58">
        <v>5</v>
      </c>
      <c r="B219" s="60" t="s">
        <v>27</v>
      </c>
      <c r="C219" s="20" t="s">
        <v>8</v>
      </c>
      <c r="D219" s="25"/>
      <c r="E219" s="17"/>
      <c r="F219" s="17"/>
      <c r="G219" s="17"/>
      <c r="H219" s="49">
        <f t="shared" ref="H219" si="58">I219+K219</f>
        <v>0</v>
      </c>
      <c r="I219" s="50"/>
      <c r="J219" s="50">
        <v>0</v>
      </c>
      <c r="K219" s="38">
        <v>0</v>
      </c>
    </row>
    <row r="220" spans="1:11" ht="33" customHeight="1">
      <c r="A220" s="71" t="s">
        <v>81</v>
      </c>
      <c r="B220" s="71"/>
      <c r="C220" s="72"/>
      <c r="D220" s="10">
        <f t="shared" ref="D220" si="59">E220+G220</f>
        <v>202480</v>
      </c>
      <c r="E220" s="10">
        <f>E222+E228+E231</f>
        <v>202480</v>
      </c>
      <c r="F220" s="10">
        <f>F222+F228+F231</f>
        <v>126017</v>
      </c>
      <c r="G220" s="10">
        <f>G222+G228+G231</f>
        <v>0</v>
      </c>
      <c r="H220" s="45">
        <f t="shared" ref="H220" si="60">I220+K220</f>
        <v>73335</v>
      </c>
      <c r="I220" s="45">
        <f>I222+I228+I231</f>
        <v>73335</v>
      </c>
      <c r="J220" s="45">
        <f>J222+J228+J231</f>
        <v>50555</v>
      </c>
      <c r="K220" s="37">
        <f>K222+K228+K231</f>
        <v>0</v>
      </c>
    </row>
    <row r="221" spans="1:11" ht="15" hidden="1" customHeight="1">
      <c r="A221" s="67"/>
      <c r="B221" s="67"/>
      <c r="C221" s="68"/>
      <c r="D221" s="11"/>
      <c r="E221" s="12"/>
      <c r="F221" s="12"/>
      <c r="G221" s="12"/>
      <c r="H221" s="49"/>
      <c r="I221" s="50"/>
      <c r="J221" s="50"/>
      <c r="K221" s="38"/>
    </row>
    <row r="222" spans="1:11" ht="18" customHeight="1">
      <c r="A222" s="69">
        <v>1</v>
      </c>
      <c r="B222" s="70" t="s">
        <v>78</v>
      </c>
      <c r="C222" s="23"/>
      <c r="D222" s="12">
        <f t="shared" ref="D222:D232" si="61">E222+G222</f>
        <v>195641</v>
      </c>
      <c r="E222" s="12">
        <f>E223+E224+E225+E226+E227</f>
        <v>195641</v>
      </c>
      <c r="F222" s="12">
        <f>F223+F224+F225+F226+F227</f>
        <v>125842</v>
      </c>
      <c r="G222" s="12">
        <f>G223+G224+G225+G226+G227</f>
        <v>0</v>
      </c>
      <c r="H222" s="50">
        <f t="shared" ref="H222:H232" si="62">I222+K222</f>
        <v>71160</v>
      </c>
      <c r="I222" s="50">
        <f>I223+I224+I225+I226+I227</f>
        <v>71160</v>
      </c>
      <c r="J222" s="50">
        <f>J223+J224+J225+J226+J227</f>
        <v>50555</v>
      </c>
      <c r="K222" s="38">
        <f>K223+K224+K225+K226+K227</f>
        <v>0</v>
      </c>
    </row>
    <row r="223" spans="1:11" ht="18" customHeight="1">
      <c r="A223" s="69"/>
      <c r="B223" s="70"/>
      <c r="C223" s="20" t="s">
        <v>3</v>
      </c>
      <c r="D223" s="13">
        <f t="shared" si="61"/>
        <v>61366</v>
      </c>
      <c r="E223" s="14">
        <v>61366</v>
      </c>
      <c r="F223" s="14">
        <v>29092</v>
      </c>
      <c r="G223" s="14"/>
      <c r="H223" s="48">
        <f t="shared" si="62"/>
        <v>51140</v>
      </c>
      <c r="I223" s="46">
        <v>51140</v>
      </c>
      <c r="J223" s="46">
        <v>33550</v>
      </c>
      <c r="K223" s="35">
        <v>0</v>
      </c>
    </row>
    <row r="224" spans="1:11" ht="18" hidden="1" customHeight="1">
      <c r="A224" s="69"/>
      <c r="B224" s="70"/>
      <c r="C224" s="20" t="s">
        <v>4</v>
      </c>
      <c r="D224" s="13">
        <f t="shared" si="61"/>
        <v>0</v>
      </c>
      <c r="E224" s="14"/>
      <c r="F224" s="14"/>
      <c r="G224" s="14"/>
      <c r="H224" s="48">
        <f t="shared" si="62"/>
        <v>0</v>
      </c>
      <c r="I224" s="46"/>
      <c r="J224" s="46"/>
      <c r="K224" s="35"/>
    </row>
    <row r="225" spans="1:11" ht="18" customHeight="1">
      <c r="A225" s="69"/>
      <c r="B225" s="70"/>
      <c r="C225" s="20" t="s">
        <v>10</v>
      </c>
      <c r="D225" s="13">
        <f t="shared" si="61"/>
        <v>129140</v>
      </c>
      <c r="E225" s="14">
        <v>129140</v>
      </c>
      <c r="F225" s="14">
        <v>96750</v>
      </c>
      <c r="G225" s="14"/>
      <c r="H225" s="48">
        <f t="shared" si="62"/>
        <v>17560</v>
      </c>
      <c r="I225" s="46">
        <v>17560</v>
      </c>
      <c r="J225" s="46">
        <v>17005</v>
      </c>
      <c r="K225" s="35">
        <v>0</v>
      </c>
    </row>
    <row r="226" spans="1:11" ht="18" hidden="1" customHeight="1">
      <c r="A226" s="69"/>
      <c r="B226" s="70"/>
      <c r="C226" s="20" t="s">
        <v>11</v>
      </c>
      <c r="D226" s="13">
        <f t="shared" si="61"/>
        <v>0</v>
      </c>
      <c r="E226" s="14"/>
      <c r="F226" s="14"/>
      <c r="G226" s="14"/>
      <c r="H226" s="48">
        <f t="shared" si="62"/>
        <v>0</v>
      </c>
      <c r="I226" s="46"/>
      <c r="J226" s="46">
        <v>0</v>
      </c>
      <c r="K226" s="35">
        <v>0</v>
      </c>
    </row>
    <row r="227" spans="1:11" ht="18" customHeight="1">
      <c r="A227" s="69"/>
      <c r="B227" s="70"/>
      <c r="C227" s="20" t="s">
        <v>5</v>
      </c>
      <c r="D227" s="13">
        <f t="shared" si="61"/>
        <v>5135</v>
      </c>
      <c r="E227" s="14">
        <v>5135</v>
      </c>
      <c r="F227" s="14"/>
      <c r="G227" s="14"/>
      <c r="H227" s="48">
        <f t="shared" si="62"/>
        <v>2460</v>
      </c>
      <c r="I227" s="46">
        <v>2460</v>
      </c>
      <c r="J227" s="46">
        <v>0</v>
      </c>
      <c r="K227" s="35">
        <v>0</v>
      </c>
    </row>
    <row r="228" spans="1:11" ht="18" hidden="1" customHeight="1">
      <c r="A228" s="69">
        <v>4</v>
      </c>
      <c r="B228" s="70" t="s">
        <v>26</v>
      </c>
      <c r="C228" s="20"/>
      <c r="D228" s="11">
        <f t="shared" si="61"/>
        <v>6116</v>
      </c>
      <c r="E228" s="12">
        <f>E229+E230</f>
        <v>6116</v>
      </c>
      <c r="F228" s="12">
        <f>F229+F230</f>
        <v>175</v>
      </c>
      <c r="G228" s="12">
        <f>G229+G230</f>
        <v>0</v>
      </c>
      <c r="H228" s="49">
        <f t="shared" si="62"/>
        <v>0</v>
      </c>
      <c r="I228" s="50"/>
      <c r="J228" s="50">
        <f>J229+J230</f>
        <v>0</v>
      </c>
      <c r="K228" s="38">
        <f>K229+K230</f>
        <v>0</v>
      </c>
    </row>
    <row r="229" spans="1:11" ht="18" hidden="1" customHeight="1">
      <c r="A229" s="69"/>
      <c r="B229" s="70"/>
      <c r="C229" s="20" t="s">
        <v>6</v>
      </c>
      <c r="D229" s="13">
        <f t="shared" si="61"/>
        <v>43</v>
      </c>
      <c r="E229" s="14">
        <v>43</v>
      </c>
      <c r="F229" s="15"/>
      <c r="G229" s="15"/>
      <c r="H229" s="48">
        <f t="shared" si="62"/>
        <v>0</v>
      </c>
      <c r="I229" s="46"/>
      <c r="J229" s="46"/>
      <c r="K229" s="35"/>
    </row>
    <row r="230" spans="1:11" ht="27" hidden="1" customHeight="1">
      <c r="A230" s="69"/>
      <c r="B230" s="70"/>
      <c r="C230" s="20" t="s">
        <v>8</v>
      </c>
      <c r="D230" s="13">
        <f t="shared" si="61"/>
        <v>6073</v>
      </c>
      <c r="E230" s="14">
        <v>6073</v>
      </c>
      <c r="F230" s="14">
        <v>175</v>
      </c>
      <c r="G230" s="14"/>
      <c r="H230" s="49">
        <f t="shared" si="62"/>
        <v>0</v>
      </c>
      <c r="I230" s="50"/>
      <c r="J230" s="50">
        <v>0</v>
      </c>
      <c r="K230" s="38">
        <v>0</v>
      </c>
    </row>
    <row r="231" spans="1:11" ht="30" customHeight="1">
      <c r="A231" s="58">
        <v>5</v>
      </c>
      <c r="B231" s="60" t="s">
        <v>27</v>
      </c>
      <c r="C231" s="20" t="s">
        <v>8</v>
      </c>
      <c r="D231" s="11">
        <f t="shared" si="61"/>
        <v>723</v>
      </c>
      <c r="E231" s="12">
        <v>723</v>
      </c>
      <c r="F231" s="12"/>
      <c r="G231" s="12"/>
      <c r="H231" s="49">
        <f t="shared" si="62"/>
        <v>2175</v>
      </c>
      <c r="I231" s="50">
        <v>2175</v>
      </c>
      <c r="J231" s="50">
        <v>0</v>
      </c>
      <c r="K231" s="38">
        <v>0</v>
      </c>
    </row>
    <row r="232" spans="1:11" ht="23.4" hidden="1" customHeight="1">
      <c r="A232" s="71" t="s">
        <v>87</v>
      </c>
      <c r="B232" s="71"/>
      <c r="C232" s="72"/>
      <c r="D232" s="10">
        <f t="shared" si="61"/>
        <v>260769</v>
      </c>
      <c r="E232" s="10">
        <f>E234+E242+E243</f>
        <v>258948</v>
      </c>
      <c r="F232" s="10">
        <f>F234+F242+F243</f>
        <v>166171</v>
      </c>
      <c r="G232" s="10">
        <f>G234+G242+G243</f>
        <v>1821</v>
      </c>
      <c r="H232" s="45">
        <f t="shared" si="62"/>
        <v>0</v>
      </c>
      <c r="I232" s="45">
        <f>I234+I240+I243</f>
        <v>0</v>
      </c>
      <c r="J232" s="45">
        <f>J234+J242+J243</f>
        <v>0</v>
      </c>
      <c r="K232" s="37">
        <f>K234+K242+K243</f>
        <v>0</v>
      </c>
    </row>
    <row r="233" spans="1:11" ht="15" hidden="1" customHeight="1">
      <c r="A233" s="67"/>
      <c r="B233" s="67"/>
      <c r="C233" s="68"/>
      <c r="D233" s="11"/>
      <c r="E233" s="12"/>
      <c r="F233" s="12"/>
      <c r="G233" s="12"/>
      <c r="H233" s="49"/>
      <c r="I233" s="50"/>
      <c r="J233" s="50"/>
      <c r="K233" s="38"/>
    </row>
    <row r="234" spans="1:11" ht="18" hidden="1" customHeight="1">
      <c r="A234" s="69">
        <v>1</v>
      </c>
      <c r="B234" s="70" t="s">
        <v>78</v>
      </c>
      <c r="C234" s="20"/>
      <c r="D234" s="11">
        <f t="shared" ref="D234:D244" si="63">E234+G234</f>
        <v>249283</v>
      </c>
      <c r="E234" s="12">
        <f>E235+E236+E237+E239</f>
        <v>247462</v>
      </c>
      <c r="F234" s="12">
        <f>F235+F236+F237+F239</f>
        <v>165893</v>
      </c>
      <c r="G234" s="12">
        <f>G235+G236+G237+G239</f>
        <v>1821</v>
      </c>
      <c r="H234" s="49">
        <f t="shared" ref="H234:H244" si="64">I234+K234</f>
        <v>0</v>
      </c>
      <c r="I234" s="50">
        <f>I235+I236+I237+I239+I238</f>
        <v>0</v>
      </c>
      <c r="J234" s="50">
        <f t="shared" ref="J234:K234" si="65">J235+J236+J237+J239+J238</f>
        <v>0</v>
      </c>
      <c r="K234" s="38">
        <f t="shared" si="65"/>
        <v>0</v>
      </c>
    </row>
    <row r="235" spans="1:11" ht="18" hidden="1" customHeight="1">
      <c r="A235" s="69"/>
      <c r="B235" s="70"/>
      <c r="C235" s="20" t="s">
        <v>3</v>
      </c>
      <c r="D235" s="13">
        <f t="shared" si="63"/>
        <v>81244</v>
      </c>
      <c r="E235" s="14">
        <v>81244</v>
      </c>
      <c r="F235" s="14">
        <v>43310</v>
      </c>
      <c r="G235" s="14"/>
      <c r="H235" s="48">
        <f t="shared" si="64"/>
        <v>0</v>
      </c>
      <c r="I235" s="46"/>
      <c r="J235" s="46"/>
      <c r="K235" s="35">
        <v>0</v>
      </c>
    </row>
    <row r="236" spans="1:11" ht="18" hidden="1" customHeight="1">
      <c r="A236" s="69"/>
      <c r="B236" s="70"/>
      <c r="C236" s="20" t="s">
        <v>4</v>
      </c>
      <c r="D236" s="13">
        <f t="shared" si="63"/>
        <v>0</v>
      </c>
      <c r="E236" s="14"/>
      <c r="F236" s="14"/>
      <c r="G236" s="14"/>
      <c r="H236" s="48">
        <f t="shared" si="64"/>
        <v>0</v>
      </c>
      <c r="I236" s="46"/>
      <c r="J236" s="46"/>
      <c r="K236" s="35"/>
    </row>
    <row r="237" spans="1:11" ht="18" hidden="1" customHeight="1">
      <c r="A237" s="69"/>
      <c r="B237" s="70"/>
      <c r="C237" s="20" t="s">
        <v>10</v>
      </c>
      <c r="D237" s="13">
        <f t="shared" si="63"/>
        <v>163930</v>
      </c>
      <c r="E237" s="14">
        <v>162109</v>
      </c>
      <c r="F237" s="14">
        <v>122583</v>
      </c>
      <c r="G237" s="14">
        <v>1821</v>
      </c>
      <c r="H237" s="48">
        <f t="shared" si="64"/>
        <v>0</v>
      </c>
      <c r="I237" s="46"/>
      <c r="J237" s="46"/>
      <c r="K237" s="35">
        <v>0</v>
      </c>
    </row>
    <row r="238" spans="1:11" ht="18" hidden="1" customHeight="1">
      <c r="A238" s="69"/>
      <c r="B238" s="70"/>
      <c r="C238" s="20" t="s">
        <v>11</v>
      </c>
      <c r="D238" s="13"/>
      <c r="E238" s="14"/>
      <c r="F238" s="14"/>
      <c r="G238" s="14"/>
      <c r="H238" s="48">
        <f t="shared" ref="H238" si="66">I238+K238</f>
        <v>0</v>
      </c>
      <c r="I238" s="46"/>
      <c r="J238" s="46"/>
      <c r="K238" s="35">
        <v>0</v>
      </c>
    </row>
    <row r="239" spans="1:11" ht="17.7" hidden="1" customHeight="1">
      <c r="A239" s="69"/>
      <c r="B239" s="70"/>
      <c r="C239" s="20" t="s">
        <v>5</v>
      </c>
      <c r="D239" s="13">
        <f t="shared" si="63"/>
        <v>4109</v>
      </c>
      <c r="E239" s="14">
        <v>4109</v>
      </c>
      <c r="F239" s="14"/>
      <c r="G239" s="14"/>
      <c r="H239" s="48">
        <f t="shared" si="64"/>
        <v>0</v>
      </c>
      <c r="I239" s="46"/>
      <c r="J239" s="46"/>
      <c r="K239" s="35">
        <v>0</v>
      </c>
    </row>
    <row r="240" spans="1:11" ht="18" hidden="1" customHeight="1">
      <c r="A240" s="73">
        <v>4</v>
      </c>
      <c r="B240" s="73" t="s">
        <v>26</v>
      </c>
      <c r="C240" s="20"/>
      <c r="D240" s="13"/>
      <c r="E240" s="14"/>
      <c r="F240" s="14"/>
      <c r="G240" s="14"/>
      <c r="H240" s="49">
        <f t="shared" si="64"/>
        <v>0</v>
      </c>
      <c r="I240" s="50">
        <f>+I241+I242</f>
        <v>0</v>
      </c>
      <c r="J240" s="50">
        <v>0</v>
      </c>
      <c r="K240" s="38">
        <v>0</v>
      </c>
    </row>
    <row r="241" spans="1:11" ht="18" hidden="1" customHeight="1">
      <c r="A241" s="74"/>
      <c r="B241" s="74"/>
      <c r="C241" s="20" t="s">
        <v>3</v>
      </c>
      <c r="D241" s="13"/>
      <c r="E241" s="14"/>
      <c r="F241" s="14"/>
      <c r="G241" s="14"/>
      <c r="H241" s="48">
        <f t="shared" si="64"/>
        <v>0</v>
      </c>
      <c r="I241" s="46"/>
      <c r="J241" s="46">
        <v>0</v>
      </c>
      <c r="K241" s="35">
        <v>0</v>
      </c>
    </row>
    <row r="242" spans="1:11" ht="18" hidden="1" customHeight="1">
      <c r="A242" s="75"/>
      <c r="B242" s="75"/>
      <c r="C242" s="20" t="s">
        <v>8</v>
      </c>
      <c r="D242" s="11">
        <f t="shared" si="63"/>
        <v>9681</v>
      </c>
      <c r="E242" s="12">
        <v>9681</v>
      </c>
      <c r="F242" s="12">
        <v>278</v>
      </c>
      <c r="G242" s="12"/>
      <c r="H242" s="48">
        <f t="shared" si="64"/>
        <v>0</v>
      </c>
      <c r="I242" s="46"/>
      <c r="J242" s="46">
        <v>0</v>
      </c>
      <c r="K242" s="35">
        <v>0</v>
      </c>
    </row>
    <row r="243" spans="1:11" ht="33" hidden="1" customHeight="1">
      <c r="A243" s="58">
        <v>5</v>
      </c>
      <c r="B243" s="60" t="s">
        <v>27</v>
      </c>
      <c r="C243" s="20" t="s">
        <v>8</v>
      </c>
      <c r="D243" s="11">
        <f t="shared" si="63"/>
        <v>1805</v>
      </c>
      <c r="E243" s="12">
        <v>1805</v>
      </c>
      <c r="F243" s="12"/>
      <c r="G243" s="12"/>
      <c r="H243" s="49">
        <f t="shared" si="64"/>
        <v>0</v>
      </c>
      <c r="I243" s="50"/>
      <c r="J243" s="50">
        <v>0</v>
      </c>
      <c r="K243" s="38">
        <v>0</v>
      </c>
    </row>
    <row r="244" spans="1:11" ht="27" hidden="1" customHeight="1">
      <c r="A244" s="71" t="s">
        <v>89</v>
      </c>
      <c r="B244" s="71"/>
      <c r="C244" s="72"/>
      <c r="D244" s="10">
        <f t="shared" si="63"/>
        <v>248805</v>
      </c>
      <c r="E244" s="10">
        <f>E246+E252+E255</f>
        <v>248400</v>
      </c>
      <c r="F244" s="10">
        <f>F246+F252+F255</f>
        <v>157796</v>
      </c>
      <c r="G244" s="10">
        <f>G246+G252+G255</f>
        <v>405</v>
      </c>
      <c r="H244" s="45">
        <f t="shared" si="64"/>
        <v>0</v>
      </c>
      <c r="I244" s="45">
        <f>I246+I252+I255</f>
        <v>0</v>
      </c>
      <c r="J244" s="45">
        <f>J246+J252+J255</f>
        <v>0</v>
      </c>
      <c r="K244" s="37">
        <f>K246+K252+K255</f>
        <v>0</v>
      </c>
    </row>
    <row r="245" spans="1:11" ht="15" hidden="1" customHeight="1">
      <c r="A245" s="67"/>
      <c r="B245" s="67"/>
      <c r="C245" s="68"/>
      <c r="D245" s="11"/>
      <c r="E245" s="12"/>
      <c r="F245" s="12"/>
      <c r="G245" s="12"/>
      <c r="H245" s="49"/>
      <c r="I245" s="50"/>
      <c r="J245" s="50"/>
      <c r="K245" s="38"/>
    </row>
    <row r="246" spans="1:11" ht="18" hidden="1" customHeight="1">
      <c r="A246" s="69">
        <v>1</v>
      </c>
      <c r="B246" s="70" t="s">
        <v>78</v>
      </c>
      <c r="C246" s="20"/>
      <c r="D246" s="25">
        <f t="shared" ref="D246:D256" si="67">E246+G246</f>
        <v>240678</v>
      </c>
      <c r="E246" s="12">
        <f>E247+E248+E249+E250+E251</f>
        <v>240273</v>
      </c>
      <c r="F246" s="12">
        <f>F247+F248+F249+F250+F251</f>
        <v>157592</v>
      </c>
      <c r="G246" s="12">
        <f>G247+G248+G249+G250+G251</f>
        <v>405</v>
      </c>
      <c r="H246" s="49">
        <f t="shared" ref="H246:H256" si="68">I246+K246</f>
        <v>0</v>
      </c>
      <c r="I246" s="50">
        <f>I247+I248+I249+I250+I251</f>
        <v>0</v>
      </c>
      <c r="J246" s="50">
        <f>J247+J248+J249+J250+J251</f>
        <v>0</v>
      </c>
      <c r="K246" s="38">
        <f>K247+K248+K249+K250+K251</f>
        <v>0</v>
      </c>
    </row>
    <row r="247" spans="1:11" ht="17.7" hidden="1" customHeight="1">
      <c r="A247" s="69"/>
      <c r="B247" s="70"/>
      <c r="C247" s="20" t="s">
        <v>3</v>
      </c>
      <c r="D247" s="13">
        <f t="shared" si="67"/>
        <v>75837</v>
      </c>
      <c r="E247" s="14">
        <v>75837</v>
      </c>
      <c r="F247" s="14">
        <v>35369</v>
      </c>
      <c r="G247" s="14"/>
      <c r="H247" s="48">
        <f t="shared" si="68"/>
        <v>0</v>
      </c>
      <c r="I247" s="46"/>
      <c r="J247" s="46"/>
      <c r="K247" s="35">
        <v>0</v>
      </c>
    </row>
    <row r="248" spans="1:11" ht="18" hidden="1" customHeight="1">
      <c r="A248" s="69"/>
      <c r="B248" s="70"/>
      <c r="C248" s="20" t="s">
        <v>4</v>
      </c>
      <c r="D248" s="13">
        <f t="shared" si="67"/>
        <v>0</v>
      </c>
      <c r="E248" s="14"/>
      <c r="F248" s="14"/>
      <c r="G248" s="14"/>
      <c r="H248" s="48">
        <f t="shared" si="68"/>
        <v>0</v>
      </c>
      <c r="I248" s="46"/>
      <c r="J248" s="46"/>
      <c r="K248" s="35"/>
    </row>
    <row r="249" spans="1:11" ht="17.7" hidden="1" customHeight="1">
      <c r="A249" s="69"/>
      <c r="B249" s="70"/>
      <c r="C249" s="20" t="s">
        <v>10</v>
      </c>
      <c r="D249" s="13">
        <f t="shared" si="67"/>
        <v>163400</v>
      </c>
      <c r="E249" s="14">
        <v>162995</v>
      </c>
      <c r="F249" s="14">
        <v>122223</v>
      </c>
      <c r="G249" s="14">
        <v>405</v>
      </c>
      <c r="H249" s="48">
        <f t="shared" si="68"/>
        <v>0</v>
      </c>
      <c r="I249" s="46"/>
      <c r="J249" s="46"/>
      <c r="K249" s="35">
        <v>0</v>
      </c>
    </row>
    <row r="250" spans="1:11" ht="18" hidden="1" customHeight="1">
      <c r="A250" s="69"/>
      <c r="B250" s="70"/>
      <c r="C250" s="20" t="s">
        <v>11</v>
      </c>
      <c r="D250" s="13">
        <f t="shared" si="67"/>
        <v>0</v>
      </c>
      <c r="E250" s="14"/>
      <c r="F250" s="14"/>
      <c r="G250" s="14"/>
      <c r="H250" s="48">
        <f t="shared" si="68"/>
        <v>0</v>
      </c>
      <c r="I250" s="46"/>
      <c r="J250" s="46"/>
      <c r="K250" s="35">
        <v>0</v>
      </c>
    </row>
    <row r="251" spans="1:11" ht="17.7" hidden="1" customHeight="1">
      <c r="A251" s="69"/>
      <c r="B251" s="70"/>
      <c r="C251" s="20" t="s">
        <v>5</v>
      </c>
      <c r="D251" s="13">
        <f t="shared" si="67"/>
        <v>1441</v>
      </c>
      <c r="E251" s="14">
        <v>1441</v>
      </c>
      <c r="F251" s="14"/>
      <c r="G251" s="14"/>
      <c r="H251" s="48">
        <f t="shared" si="68"/>
        <v>0</v>
      </c>
      <c r="I251" s="46"/>
      <c r="J251" s="46"/>
      <c r="K251" s="35">
        <v>0</v>
      </c>
    </row>
    <row r="252" spans="1:11" ht="18" hidden="1" customHeight="1">
      <c r="A252" s="69">
        <v>4</v>
      </c>
      <c r="B252" s="70" t="s">
        <v>26</v>
      </c>
      <c r="C252" s="20"/>
      <c r="D252" s="11">
        <f t="shared" si="67"/>
        <v>7405</v>
      </c>
      <c r="E252" s="12">
        <f>E253+E254</f>
        <v>7405</v>
      </c>
      <c r="F252" s="12">
        <f>F253+F254</f>
        <v>204</v>
      </c>
      <c r="G252" s="12">
        <f>G253+G254</f>
        <v>0</v>
      </c>
      <c r="H252" s="49">
        <f t="shared" si="68"/>
        <v>0</v>
      </c>
      <c r="I252" s="50">
        <f>+I253+I254</f>
        <v>0</v>
      </c>
      <c r="J252" s="50">
        <v>0</v>
      </c>
      <c r="K252" s="38">
        <f>K253+K254</f>
        <v>0</v>
      </c>
    </row>
    <row r="253" spans="1:11" ht="18" hidden="1" customHeight="1">
      <c r="A253" s="69"/>
      <c r="B253" s="70"/>
      <c r="C253" s="20" t="s">
        <v>8</v>
      </c>
      <c r="D253" s="13">
        <f t="shared" si="67"/>
        <v>261</v>
      </c>
      <c r="E253" s="14">
        <v>261</v>
      </c>
      <c r="F253" s="14"/>
      <c r="G253" s="14"/>
      <c r="H253" s="48">
        <f t="shared" si="68"/>
        <v>0</v>
      </c>
      <c r="I253" s="46"/>
      <c r="J253" s="46">
        <v>0</v>
      </c>
      <c r="K253" s="35">
        <v>0</v>
      </c>
    </row>
    <row r="254" spans="1:11" ht="18" hidden="1" customHeight="1">
      <c r="A254" s="69"/>
      <c r="B254" s="70"/>
      <c r="C254" s="20" t="s">
        <v>3</v>
      </c>
      <c r="D254" s="13">
        <f t="shared" si="67"/>
        <v>7144</v>
      </c>
      <c r="E254" s="14">
        <v>7144</v>
      </c>
      <c r="F254" s="14">
        <v>204</v>
      </c>
      <c r="G254" s="14"/>
      <c r="H254" s="48">
        <f t="shared" si="68"/>
        <v>0</v>
      </c>
      <c r="I254" s="46"/>
      <c r="J254" s="46">
        <v>0</v>
      </c>
      <c r="K254" s="35">
        <v>0</v>
      </c>
    </row>
    <row r="255" spans="1:11" ht="30.75" hidden="1" customHeight="1">
      <c r="A255" s="58">
        <v>5</v>
      </c>
      <c r="B255" s="60" t="s">
        <v>27</v>
      </c>
      <c r="C255" s="20" t="s">
        <v>8</v>
      </c>
      <c r="D255" s="11">
        <f t="shared" si="67"/>
        <v>722</v>
      </c>
      <c r="E255" s="12">
        <v>722</v>
      </c>
      <c r="F255" s="15"/>
      <c r="G255" s="15"/>
      <c r="H255" s="49">
        <f t="shared" si="68"/>
        <v>0</v>
      </c>
      <c r="I255" s="50"/>
      <c r="J255" s="50">
        <v>0</v>
      </c>
      <c r="K255" s="38">
        <v>0</v>
      </c>
    </row>
    <row r="256" spans="1:11" ht="22.95" customHeight="1">
      <c r="A256" s="71" t="s">
        <v>86</v>
      </c>
      <c r="B256" s="71"/>
      <c r="C256" s="72"/>
      <c r="D256" s="10" t="e">
        <f t="shared" si="67"/>
        <v>#REF!</v>
      </c>
      <c r="E256" s="10" t="e">
        <f>E258+E264+E265</f>
        <v>#REF!</v>
      </c>
      <c r="F256" s="10" t="e">
        <f>F258+F264+F265</f>
        <v>#REF!</v>
      </c>
      <c r="G256" s="10" t="e">
        <f>G258+G264+G265</f>
        <v>#REF!</v>
      </c>
      <c r="H256" s="45">
        <f t="shared" si="68"/>
        <v>446796</v>
      </c>
      <c r="I256" s="45">
        <f>I258+I264+I265</f>
        <v>446796</v>
      </c>
      <c r="J256" s="45">
        <f>J258+J264+J265</f>
        <v>381813</v>
      </c>
      <c r="K256" s="37">
        <f>K258+K264+K265</f>
        <v>0</v>
      </c>
    </row>
    <row r="257" spans="1:11" ht="15" hidden="1" customHeight="1">
      <c r="A257" s="67"/>
      <c r="B257" s="67"/>
      <c r="C257" s="68"/>
      <c r="D257" s="11"/>
      <c r="E257" s="12"/>
      <c r="F257" s="12"/>
      <c r="G257" s="12"/>
      <c r="H257" s="49"/>
      <c r="I257" s="50"/>
      <c r="J257" s="50"/>
      <c r="K257" s="38"/>
    </row>
    <row r="258" spans="1:11" ht="18" customHeight="1">
      <c r="A258" s="69">
        <v>1</v>
      </c>
      <c r="B258" s="70" t="s">
        <v>78</v>
      </c>
      <c r="C258" s="20"/>
      <c r="D258" s="11">
        <f t="shared" ref="D258:D266" si="69">E258+G258</f>
        <v>261202</v>
      </c>
      <c r="E258" s="12">
        <f>E259+E260+E261+E262+E263</f>
        <v>260478</v>
      </c>
      <c r="F258" s="12">
        <f>F259+F260+F261+F262+F263</f>
        <v>170796</v>
      </c>
      <c r="G258" s="12">
        <f>G259+G260+G261+G262+G263</f>
        <v>724</v>
      </c>
      <c r="H258" s="49">
        <f t="shared" ref="H258:H266" si="70">I258+K258</f>
        <v>444621</v>
      </c>
      <c r="I258" s="50">
        <f>I259+I260+I261+I262+I263</f>
        <v>444621</v>
      </c>
      <c r="J258" s="50">
        <f>J259+J260+J261+J262+J263</f>
        <v>381813</v>
      </c>
      <c r="K258" s="38">
        <f>K259+K260+K261+K262+K263</f>
        <v>0</v>
      </c>
    </row>
    <row r="259" spans="1:11" ht="18" customHeight="1">
      <c r="A259" s="69"/>
      <c r="B259" s="70"/>
      <c r="C259" s="20" t="s">
        <v>3</v>
      </c>
      <c r="D259" s="13">
        <f t="shared" si="69"/>
        <v>103462</v>
      </c>
      <c r="E259" s="14">
        <v>103462</v>
      </c>
      <c r="F259" s="14">
        <v>57069</v>
      </c>
      <c r="G259" s="14"/>
      <c r="H259" s="48">
        <f t="shared" si="70"/>
        <v>189140</v>
      </c>
      <c r="I259" s="46">
        <v>189140</v>
      </c>
      <c r="J259" s="46">
        <v>140114</v>
      </c>
      <c r="K259" s="35">
        <v>0</v>
      </c>
    </row>
    <row r="260" spans="1:11" ht="18" hidden="1" customHeight="1">
      <c r="A260" s="69"/>
      <c r="B260" s="70"/>
      <c r="C260" s="20" t="s">
        <v>4</v>
      </c>
      <c r="D260" s="13">
        <f t="shared" si="69"/>
        <v>0</v>
      </c>
      <c r="E260" s="14"/>
      <c r="F260" s="14"/>
      <c r="G260" s="14"/>
      <c r="H260" s="48">
        <f t="shared" si="70"/>
        <v>0</v>
      </c>
      <c r="I260" s="46"/>
      <c r="J260" s="46"/>
      <c r="K260" s="35"/>
    </row>
    <row r="261" spans="1:11" ht="16.95" customHeight="1">
      <c r="A261" s="69"/>
      <c r="B261" s="70"/>
      <c r="C261" s="20" t="s">
        <v>10</v>
      </c>
      <c r="D261" s="13">
        <f t="shared" si="69"/>
        <v>151992</v>
      </c>
      <c r="E261" s="14">
        <v>151268</v>
      </c>
      <c r="F261" s="14">
        <v>113727</v>
      </c>
      <c r="G261" s="14">
        <v>724</v>
      </c>
      <c r="H261" s="48">
        <f t="shared" si="70"/>
        <v>245955</v>
      </c>
      <c r="I261" s="46">
        <v>245955</v>
      </c>
      <c r="J261" s="46">
        <v>239380</v>
      </c>
      <c r="K261" s="35">
        <v>0</v>
      </c>
    </row>
    <row r="262" spans="1:11" ht="18" customHeight="1">
      <c r="A262" s="69"/>
      <c r="B262" s="70"/>
      <c r="C262" s="20" t="s">
        <v>11</v>
      </c>
      <c r="D262" s="13">
        <f t="shared" si="69"/>
        <v>0</v>
      </c>
      <c r="E262" s="14"/>
      <c r="F262" s="14"/>
      <c r="G262" s="14"/>
      <c r="H262" s="48">
        <f t="shared" si="70"/>
        <v>3596</v>
      </c>
      <c r="I262" s="46">
        <v>3596</v>
      </c>
      <c r="J262" s="46">
        <v>1224</v>
      </c>
      <c r="K262" s="35">
        <v>0</v>
      </c>
    </row>
    <row r="263" spans="1:11" ht="17.7" customHeight="1">
      <c r="A263" s="69"/>
      <c r="B263" s="70"/>
      <c r="C263" s="20" t="s">
        <v>5</v>
      </c>
      <c r="D263" s="13">
        <f t="shared" si="69"/>
        <v>5748</v>
      </c>
      <c r="E263" s="14">
        <v>5748</v>
      </c>
      <c r="F263" s="14"/>
      <c r="G263" s="14"/>
      <c r="H263" s="48">
        <f t="shared" si="70"/>
        <v>5930</v>
      </c>
      <c r="I263" s="46">
        <v>5930</v>
      </c>
      <c r="J263" s="46">
        <v>1095</v>
      </c>
      <c r="K263" s="35">
        <v>0</v>
      </c>
    </row>
    <row r="264" spans="1:11" ht="36" hidden="1" customHeight="1">
      <c r="A264" s="58">
        <v>2</v>
      </c>
      <c r="B264" s="63" t="s">
        <v>24</v>
      </c>
      <c r="C264" s="20" t="s">
        <v>3</v>
      </c>
      <c r="D264" s="11" t="e">
        <f t="shared" si="69"/>
        <v>#REF!</v>
      </c>
      <c r="E264" s="12" t="e">
        <f>#REF!+#REF!</f>
        <v>#REF!</v>
      </c>
      <c r="F264" s="12" t="e">
        <f>#REF!+#REF!</f>
        <v>#REF!</v>
      </c>
      <c r="G264" s="12" t="e">
        <f>#REF!+#REF!</f>
        <v>#REF!</v>
      </c>
      <c r="H264" s="49">
        <f t="shared" si="70"/>
        <v>0</v>
      </c>
      <c r="I264" s="50"/>
      <c r="J264" s="50">
        <v>0</v>
      </c>
      <c r="K264" s="38"/>
    </row>
    <row r="265" spans="1:11" ht="30" customHeight="1">
      <c r="A265" s="58">
        <v>5</v>
      </c>
      <c r="B265" s="60" t="s">
        <v>27</v>
      </c>
      <c r="C265" s="20" t="s">
        <v>8</v>
      </c>
      <c r="D265" s="11">
        <f t="shared" si="69"/>
        <v>719</v>
      </c>
      <c r="E265" s="12">
        <v>719</v>
      </c>
      <c r="F265" s="15"/>
      <c r="G265" s="15"/>
      <c r="H265" s="49">
        <f t="shared" si="70"/>
        <v>2175</v>
      </c>
      <c r="I265" s="50">
        <v>2175</v>
      </c>
      <c r="J265" s="50">
        <v>0</v>
      </c>
      <c r="K265" s="38">
        <v>0</v>
      </c>
    </row>
    <row r="266" spans="1:11" ht="24" hidden="1" customHeight="1">
      <c r="A266" s="71" t="s">
        <v>18</v>
      </c>
      <c r="B266" s="71"/>
      <c r="C266" s="72"/>
      <c r="D266" s="10">
        <f t="shared" si="69"/>
        <v>348586</v>
      </c>
      <c r="E266" s="10">
        <f>E268+E274+E277</f>
        <v>348586</v>
      </c>
      <c r="F266" s="10">
        <f>F268+F274+F277</f>
        <v>207284</v>
      </c>
      <c r="G266" s="10">
        <f>G268+G274+G277</f>
        <v>0</v>
      </c>
      <c r="H266" s="45">
        <f t="shared" si="70"/>
        <v>0</v>
      </c>
      <c r="I266" s="45">
        <f>I268+I274+I277</f>
        <v>0</v>
      </c>
      <c r="J266" s="45">
        <f>J268+J274+J277</f>
        <v>0</v>
      </c>
      <c r="K266" s="37">
        <f>K268+K274+K277</f>
        <v>0</v>
      </c>
    </row>
    <row r="267" spans="1:11" ht="15" hidden="1" customHeight="1">
      <c r="A267" s="67"/>
      <c r="B267" s="67"/>
      <c r="C267" s="68"/>
      <c r="D267" s="11"/>
      <c r="E267" s="12"/>
      <c r="F267" s="12"/>
      <c r="G267" s="12"/>
      <c r="H267" s="49"/>
      <c r="I267" s="50"/>
      <c r="J267" s="50"/>
      <c r="K267" s="38"/>
    </row>
    <row r="268" spans="1:11" ht="18" hidden="1" customHeight="1">
      <c r="A268" s="69">
        <v>1</v>
      </c>
      <c r="B268" s="70" t="s">
        <v>78</v>
      </c>
      <c r="C268" s="59"/>
      <c r="D268" s="11">
        <f t="shared" ref="D268:D278" si="71">E268+G268</f>
        <v>330228</v>
      </c>
      <c r="E268" s="12">
        <f>E269+E270+E271+E272+E273</f>
        <v>330228</v>
      </c>
      <c r="F268" s="12">
        <f>F269+F270+F271+F272+F273</f>
        <v>206778</v>
      </c>
      <c r="G268" s="12">
        <f>G269+G270+G271+G272+G273</f>
        <v>0</v>
      </c>
      <c r="H268" s="49">
        <f t="shared" ref="H268:H278" si="72">I268+K268</f>
        <v>0</v>
      </c>
      <c r="I268" s="50">
        <f>I269+I270+I271+I272+I273</f>
        <v>0</v>
      </c>
      <c r="J268" s="50">
        <f>J269+J270+J271+J272+J273</f>
        <v>0</v>
      </c>
      <c r="K268" s="38">
        <f>K269+K270+K271+K272+K273</f>
        <v>0</v>
      </c>
    </row>
    <row r="269" spans="1:11" ht="18" hidden="1" customHeight="1">
      <c r="A269" s="69"/>
      <c r="B269" s="70"/>
      <c r="C269" s="20" t="s">
        <v>3</v>
      </c>
      <c r="D269" s="13">
        <f t="shared" si="71"/>
        <v>90170</v>
      </c>
      <c r="E269" s="14">
        <v>90170</v>
      </c>
      <c r="F269" s="14">
        <v>43730</v>
      </c>
      <c r="G269" s="14"/>
      <c r="H269" s="48">
        <f t="shared" si="72"/>
        <v>0</v>
      </c>
      <c r="I269" s="46"/>
      <c r="J269" s="46"/>
      <c r="K269" s="35">
        <v>0</v>
      </c>
    </row>
    <row r="270" spans="1:11" ht="18" hidden="1" customHeight="1">
      <c r="A270" s="69"/>
      <c r="B270" s="70"/>
      <c r="C270" s="20" t="s">
        <v>4</v>
      </c>
      <c r="D270" s="13">
        <f t="shared" si="71"/>
        <v>0</v>
      </c>
      <c r="E270" s="14"/>
      <c r="F270" s="14"/>
      <c r="G270" s="14"/>
      <c r="H270" s="53">
        <f t="shared" si="72"/>
        <v>0</v>
      </c>
      <c r="I270" s="47"/>
      <c r="J270" s="47"/>
      <c r="K270" s="14"/>
    </row>
    <row r="271" spans="1:11" ht="18" hidden="1" customHeight="1">
      <c r="A271" s="69"/>
      <c r="B271" s="70"/>
      <c r="C271" s="20" t="s">
        <v>10</v>
      </c>
      <c r="D271" s="13">
        <f t="shared" si="71"/>
        <v>222186</v>
      </c>
      <c r="E271" s="14">
        <v>222186</v>
      </c>
      <c r="F271" s="14">
        <v>163048</v>
      </c>
      <c r="G271" s="14"/>
      <c r="H271" s="48">
        <f t="shared" si="72"/>
        <v>0</v>
      </c>
      <c r="I271" s="46"/>
      <c r="J271" s="46"/>
      <c r="K271" s="35">
        <v>0</v>
      </c>
    </row>
    <row r="272" spans="1:11" ht="18" hidden="1" customHeight="1">
      <c r="A272" s="69"/>
      <c r="B272" s="70"/>
      <c r="C272" s="20" t="s">
        <v>11</v>
      </c>
      <c r="D272" s="13">
        <f t="shared" si="71"/>
        <v>0</v>
      </c>
      <c r="E272" s="14"/>
      <c r="F272" s="14"/>
      <c r="G272" s="14"/>
      <c r="H272" s="48">
        <f t="shared" si="72"/>
        <v>0</v>
      </c>
      <c r="I272" s="46"/>
      <c r="J272" s="46"/>
      <c r="K272" s="35">
        <v>0</v>
      </c>
    </row>
    <row r="273" spans="1:11" ht="18" hidden="1" customHeight="1">
      <c r="A273" s="69"/>
      <c r="B273" s="70"/>
      <c r="C273" s="20" t="s">
        <v>5</v>
      </c>
      <c r="D273" s="13">
        <f t="shared" si="71"/>
        <v>17872</v>
      </c>
      <c r="E273" s="14">
        <v>17872</v>
      </c>
      <c r="F273" s="14"/>
      <c r="G273" s="14"/>
      <c r="H273" s="48">
        <f t="shared" si="72"/>
        <v>0</v>
      </c>
      <c r="I273" s="46"/>
      <c r="J273" s="46">
        <v>0</v>
      </c>
      <c r="K273" s="35">
        <v>0</v>
      </c>
    </row>
    <row r="274" spans="1:11" ht="18" hidden="1" customHeight="1">
      <c r="A274" s="69">
        <v>4</v>
      </c>
      <c r="B274" s="70" t="s">
        <v>26</v>
      </c>
      <c r="C274" s="20"/>
      <c r="D274" s="11">
        <f t="shared" si="71"/>
        <v>17995</v>
      </c>
      <c r="E274" s="12">
        <f>E275+E276</f>
        <v>17995</v>
      </c>
      <c r="F274" s="12">
        <f>F275+F276</f>
        <v>506</v>
      </c>
      <c r="G274" s="12">
        <f>G275+G276</f>
        <v>0</v>
      </c>
      <c r="H274" s="49">
        <f t="shared" si="72"/>
        <v>0</v>
      </c>
      <c r="I274" s="50">
        <f>I275+I276</f>
        <v>0</v>
      </c>
      <c r="J274" s="50">
        <f>J275+J276</f>
        <v>0</v>
      </c>
      <c r="K274" s="38">
        <f>K275+K276</f>
        <v>0</v>
      </c>
    </row>
    <row r="275" spans="1:11" ht="18" hidden="1" customHeight="1">
      <c r="A275" s="69"/>
      <c r="B275" s="70"/>
      <c r="C275" s="20" t="s">
        <v>6</v>
      </c>
      <c r="D275" s="13">
        <f t="shared" si="71"/>
        <v>208</v>
      </c>
      <c r="E275" s="14">
        <v>208</v>
      </c>
      <c r="F275" s="15"/>
      <c r="G275" s="15"/>
      <c r="H275" s="48">
        <f t="shared" si="72"/>
        <v>0</v>
      </c>
      <c r="I275" s="46"/>
      <c r="J275" s="46"/>
      <c r="K275" s="35"/>
    </row>
    <row r="276" spans="1:11" ht="18" hidden="1" customHeight="1">
      <c r="A276" s="69"/>
      <c r="B276" s="70"/>
      <c r="C276" s="20" t="s">
        <v>8</v>
      </c>
      <c r="D276" s="13">
        <f t="shared" si="71"/>
        <v>17787</v>
      </c>
      <c r="E276" s="14">
        <v>17787</v>
      </c>
      <c r="F276" s="14">
        <v>506</v>
      </c>
      <c r="G276" s="14"/>
      <c r="H276" s="48">
        <f t="shared" si="72"/>
        <v>0</v>
      </c>
      <c r="I276" s="46">
        <v>0</v>
      </c>
      <c r="J276" s="46">
        <v>0</v>
      </c>
      <c r="K276" s="35">
        <v>0</v>
      </c>
    </row>
    <row r="277" spans="1:11" ht="30.75" hidden="1" customHeight="1">
      <c r="A277" s="58">
        <v>5</v>
      </c>
      <c r="B277" s="60" t="s">
        <v>27</v>
      </c>
      <c r="C277" s="20" t="s">
        <v>8</v>
      </c>
      <c r="D277" s="11">
        <f t="shared" si="71"/>
        <v>363</v>
      </c>
      <c r="E277" s="12">
        <v>363</v>
      </c>
      <c r="F277" s="15"/>
      <c r="G277" s="15"/>
      <c r="H277" s="49">
        <f t="shared" si="72"/>
        <v>0</v>
      </c>
      <c r="I277" s="50">
        <v>0</v>
      </c>
      <c r="J277" s="50">
        <v>0</v>
      </c>
      <c r="K277" s="38">
        <v>0</v>
      </c>
    </row>
    <row r="278" spans="1:11" ht="24.6" customHeight="1">
      <c r="A278" s="71" t="s">
        <v>19</v>
      </c>
      <c r="B278" s="71"/>
      <c r="C278" s="72"/>
      <c r="D278" s="10">
        <f t="shared" si="71"/>
        <v>274739</v>
      </c>
      <c r="E278" s="10">
        <f>E280+E285+E286</f>
        <v>271409</v>
      </c>
      <c r="F278" s="10">
        <f>F280+F285+F286</f>
        <v>185809</v>
      </c>
      <c r="G278" s="10">
        <f>G280+G285+G286</f>
        <v>3330</v>
      </c>
      <c r="H278" s="45">
        <f t="shared" si="72"/>
        <v>369593</v>
      </c>
      <c r="I278" s="45">
        <f>I280+I285+I286</f>
        <v>369593</v>
      </c>
      <c r="J278" s="45">
        <f>J280+J285+J286</f>
        <v>338085</v>
      </c>
      <c r="K278" s="37">
        <f>K280+K285+K286</f>
        <v>0</v>
      </c>
    </row>
    <row r="279" spans="1:11" ht="15" hidden="1" customHeight="1">
      <c r="A279" s="67"/>
      <c r="B279" s="67"/>
      <c r="C279" s="68"/>
      <c r="D279" s="11"/>
      <c r="E279" s="12"/>
      <c r="F279" s="12"/>
      <c r="G279" s="12"/>
      <c r="H279" s="49"/>
      <c r="I279" s="50"/>
      <c r="J279" s="50"/>
      <c r="K279" s="38"/>
    </row>
    <row r="280" spans="1:11" ht="18" customHeight="1">
      <c r="A280" s="69">
        <v>1</v>
      </c>
      <c r="B280" s="70" t="s">
        <v>78</v>
      </c>
      <c r="C280" s="20"/>
      <c r="D280" s="11">
        <f t="shared" ref="D280:D287" si="73">E280+G280</f>
        <v>273424</v>
      </c>
      <c r="E280" s="12">
        <f>E281+E282+E283+E284</f>
        <v>270094</v>
      </c>
      <c r="F280" s="12">
        <f>F281+F282+F283+F284</f>
        <v>185809</v>
      </c>
      <c r="G280" s="12">
        <f>G281+G282+G283+G284</f>
        <v>3330</v>
      </c>
      <c r="H280" s="49">
        <f t="shared" ref="H280:H287" si="74">I280+K280</f>
        <v>369493</v>
      </c>
      <c r="I280" s="50">
        <f>I281+I282+I283+I284</f>
        <v>369493</v>
      </c>
      <c r="J280" s="50">
        <f>J281+J282+J283+J284</f>
        <v>338085</v>
      </c>
      <c r="K280" s="38">
        <f>K281+K282+K283+K284</f>
        <v>0</v>
      </c>
    </row>
    <row r="281" spans="1:11" ht="18" customHeight="1">
      <c r="A281" s="69"/>
      <c r="B281" s="70"/>
      <c r="C281" s="20" t="s">
        <v>3</v>
      </c>
      <c r="D281" s="13">
        <f t="shared" si="73"/>
        <v>219563</v>
      </c>
      <c r="E281" s="14">
        <f>219279+284</f>
        <v>219563</v>
      </c>
      <c r="F281" s="14">
        <f>163557+217</f>
        <v>163774</v>
      </c>
      <c r="G281" s="14"/>
      <c r="H281" s="48">
        <f t="shared" si="74"/>
        <v>331600</v>
      </c>
      <c r="I281" s="46">
        <v>331600</v>
      </c>
      <c r="J281" s="46">
        <v>321450</v>
      </c>
      <c r="K281" s="35">
        <v>0</v>
      </c>
    </row>
    <row r="282" spans="1:11" ht="18" customHeight="1">
      <c r="A282" s="69"/>
      <c r="B282" s="70"/>
      <c r="C282" s="20" t="s">
        <v>10</v>
      </c>
      <c r="D282" s="13">
        <f t="shared" si="73"/>
        <v>28861</v>
      </c>
      <c r="E282" s="14">
        <v>28861</v>
      </c>
      <c r="F282" s="14">
        <v>22035</v>
      </c>
      <c r="G282" s="14"/>
      <c r="H282" s="48">
        <f t="shared" si="74"/>
        <v>16875</v>
      </c>
      <c r="I282" s="46">
        <v>16875</v>
      </c>
      <c r="J282" s="46">
        <v>16635</v>
      </c>
      <c r="K282" s="35">
        <v>0</v>
      </c>
    </row>
    <row r="283" spans="1:11" ht="18" customHeight="1">
      <c r="A283" s="69"/>
      <c r="B283" s="70"/>
      <c r="C283" s="20" t="s">
        <v>11</v>
      </c>
      <c r="D283" s="13">
        <f t="shared" si="73"/>
        <v>0</v>
      </c>
      <c r="E283" s="14"/>
      <c r="F283" s="14"/>
      <c r="G283" s="14"/>
      <c r="H283" s="48">
        <f t="shared" si="74"/>
        <v>578</v>
      </c>
      <c r="I283" s="46">
        <v>578</v>
      </c>
      <c r="J283" s="46">
        <v>0</v>
      </c>
      <c r="K283" s="35">
        <v>0</v>
      </c>
    </row>
    <row r="284" spans="1:11" ht="18" customHeight="1">
      <c r="A284" s="69"/>
      <c r="B284" s="70"/>
      <c r="C284" s="20" t="s">
        <v>5</v>
      </c>
      <c r="D284" s="13">
        <f t="shared" si="73"/>
        <v>25000</v>
      </c>
      <c r="E284" s="14">
        <v>21670</v>
      </c>
      <c r="F284" s="14"/>
      <c r="G284" s="14">
        <v>3330</v>
      </c>
      <c r="H284" s="48">
        <f t="shared" si="74"/>
        <v>20440</v>
      </c>
      <c r="I284" s="46">
        <v>20440</v>
      </c>
      <c r="J284" s="46">
        <v>0</v>
      </c>
      <c r="K284" s="35">
        <v>0</v>
      </c>
    </row>
    <row r="285" spans="1:11" ht="28.2" customHeight="1">
      <c r="A285" s="58">
        <v>4</v>
      </c>
      <c r="B285" s="60" t="s">
        <v>26</v>
      </c>
      <c r="C285" s="20" t="s">
        <v>3</v>
      </c>
      <c r="D285" s="11">
        <f t="shared" si="73"/>
        <v>599</v>
      </c>
      <c r="E285" s="12">
        <v>599</v>
      </c>
      <c r="F285" s="15"/>
      <c r="G285" s="15"/>
      <c r="H285" s="49">
        <f t="shared" si="74"/>
        <v>100</v>
      </c>
      <c r="I285" s="50">
        <v>100</v>
      </c>
      <c r="J285" s="50">
        <v>0</v>
      </c>
      <c r="K285" s="38">
        <v>0</v>
      </c>
    </row>
    <row r="286" spans="1:11" ht="34.5" hidden="1" customHeight="1">
      <c r="A286" s="58">
        <v>5</v>
      </c>
      <c r="B286" s="60" t="s">
        <v>27</v>
      </c>
      <c r="C286" s="20" t="s">
        <v>8</v>
      </c>
      <c r="D286" s="11">
        <f t="shared" si="73"/>
        <v>716</v>
      </c>
      <c r="E286" s="12">
        <v>716</v>
      </c>
      <c r="F286" s="15"/>
      <c r="G286" s="15"/>
      <c r="H286" s="49">
        <f t="shared" si="74"/>
        <v>0</v>
      </c>
      <c r="I286" s="50">
        <v>0</v>
      </c>
      <c r="J286" s="50">
        <v>0</v>
      </c>
      <c r="K286" s="38">
        <v>0</v>
      </c>
    </row>
    <row r="287" spans="1:11" ht="28.2" customHeight="1">
      <c r="A287" s="71" t="s">
        <v>20</v>
      </c>
      <c r="B287" s="71"/>
      <c r="C287" s="72"/>
      <c r="D287" s="10">
        <f t="shared" si="73"/>
        <v>107763</v>
      </c>
      <c r="E287" s="10">
        <f>E289+E295</f>
        <v>106315</v>
      </c>
      <c r="F287" s="10">
        <f>F289+F295</f>
        <v>57646</v>
      </c>
      <c r="G287" s="10">
        <f>G289+G295</f>
        <v>1448</v>
      </c>
      <c r="H287" s="45">
        <f t="shared" si="74"/>
        <v>194096</v>
      </c>
      <c r="I287" s="45">
        <f>I289+I295</f>
        <v>192096</v>
      </c>
      <c r="J287" s="45">
        <f>J289+J295</f>
        <v>158800</v>
      </c>
      <c r="K287" s="37">
        <f>K289+K295</f>
        <v>2000</v>
      </c>
    </row>
    <row r="288" spans="1:11" ht="15" hidden="1" customHeight="1">
      <c r="A288" s="67"/>
      <c r="B288" s="67"/>
      <c r="C288" s="68"/>
      <c r="D288" s="11"/>
      <c r="E288" s="12"/>
      <c r="F288" s="12"/>
      <c r="G288" s="12"/>
      <c r="H288" s="49"/>
      <c r="I288" s="50"/>
      <c r="J288" s="50"/>
      <c r="K288" s="38"/>
    </row>
    <row r="289" spans="1:11" ht="18" customHeight="1">
      <c r="A289" s="69">
        <v>1</v>
      </c>
      <c r="B289" s="70" t="s">
        <v>78</v>
      </c>
      <c r="C289" s="20"/>
      <c r="D289" s="11">
        <f t="shared" ref="D289:D296" si="75">E289+G289</f>
        <v>104154</v>
      </c>
      <c r="E289" s="12">
        <f>E290+E291+E294</f>
        <v>102706</v>
      </c>
      <c r="F289" s="12">
        <f>F290+F291+F294</f>
        <v>57646</v>
      </c>
      <c r="G289" s="12">
        <f>G290+G291+G294</f>
        <v>1448</v>
      </c>
      <c r="H289" s="49">
        <f t="shared" ref="H289:H296" si="76">I289+K289</f>
        <v>191921</v>
      </c>
      <c r="I289" s="50">
        <f>I290+I291+I294+I292+I293</f>
        <v>189921</v>
      </c>
      <c r="J289" s="50">
        <f t="shared" ref="J289:K289" si="77">J290+J291+J294+J292+J293</f>
        <v>158800</v>
      </c>
      <c r="K289" s="38">
        <f t="shared" si="77"/>
        <v>2000</v>
      </c>
    </row>
    <row r="290" spans="1:11" ht="18" customHeight="1">
      <c r="A290" s="69"/>
      <c r="B290" s="70"/>
      <c r="C290" s="20" t="s">
        <v>3</v>
      </c>
      <c r="D290" s="13">
        <f t="shared" si="75"/>
        <v>103887</v>
      </c>
      <c r="E290" s="14">
        <f>97950+4489</f>
        <v>102439</v>
      </c>
      <c r="F290" s="14">
        <f>54228+3418</f>
        <v>57646</v>
      </c>
      <c r="G290" s="14">
        <v>1448</v>
      </c>
      <c r="H290" s="48">
        <f t="shared" si="76"/>
        <v>186050</v>
      </c>
      <c r="I290" s="46">
        <v>184050</v>
      </c>
      <c r="J290" s="46">
        <v>156450</v>
      </c>
      <c r="K290" s="35">
        <f>500+1500</f>
        <v>2000</v>
      </c>
    </row>
    <row r="291" spans="1:11" ht="18" hidden="1" customHeight="1">
      <c r="A291" s="69"/>
      <c r="B291" s="70"/>
      <c r="C291" s="20" t="s">
        <v>10</v>
      </c>
      <c r="D291" s="13">
        <f t="shared" si="75"/>
        <v>0</v>
      </c>
      <c r="E291" s="14"/>
      <c r="F291" s="14"/>
      <c r="G291" s="14"/>
      <c r="H291" s="53">
        <f t="shared" si="76"/>
        <v>0</v>
      </c>
      <c r="I291" s="47"/>
      <c r="J291" s="47"/>
      <c r="K291" s="14">
        <v>0</v>
      </c>
    </row>
    <row r="292" spans="1:11" ht="18" hidden="1" customHeight="1">
      <c r="A292" s="69"/>
      <c r="B292" s="70"/>
      <c r="C292" s="20" t="s">
        <v>77</v>
      </c>
      <c r="D292" s="13"/>
      <c r="E292" s="14"/>
      <c r="F292" s="14"/>
      <c r="G292" s="14"/>
      <c r="H292" s="53">
        <f t="shared" si="76"/>
        <v>0</v>
      </c>
      <c r="I292" s="47"/>
      <c r="J292" s="47">
        <v>0</v>
      </c>
      <c r="K292" s="14">
        <v>0</v>
      </c>
    </row>
    <row r="293" spans="1:11" ht="18" customHeight="1">
      <c r="A293" s="69"/>
      <c r="B293" s="70"/>
      <c r="C293" s="20" t="s">
        <v>11</v>
      </c>
      <c r="D293" s="13"/>
      <c r="E293" s="14"/>
      <c r="F293" s="14"/>
      <c r="G293" s="14"/>
      <c r="H293" s="53">
        <f t="shared" ref="H293" si="78">I293+K293</f>
        <v>3441</v>
      </c>
      <c r="I293" s="47">
        <f>2385+1056</f>
        <v>3441</v>
      </c>
      <c r="J293" s="47">
        <v>2350</v>
      </c>
      <c r="K293" s="14">
        <v>0</v>
      </c>
    </row>
    <row r="294" spans="1:11" ht="18" customHeight="1">
      <c r="A294" s="69"/>
      <c r="B294" s="70"/>
      <c r="C294" s="20" t="s">
        <v>5</v>
      </c>
      <c r="D294" s="13">
        <f t="shared" si="75"/>
        <v>267</v>
      </c>
      <c r="E294" s="14">
        <v>267</v>
      </c>
      <c r="F294" s="14"/>
      <c r="G294" s="14"/>
      <c r="H294" s="48">
        <f t="shared" si="76"/>
        <v>2430</v>
      </c>
      <c r="I294" s="46">
        <v>2430</v>
      </c>
      <c r="J294" s="47">
        <v>0</v>
      </c>
      <c r="K294" s="14">
        <v>0</v>
      </c>
    </row>
    <row r="295" spans="1:11" ht="28.5" customHeight="1">
      <c r="A295" s="58">
        <v>5</v>
      </c>
      <c r="B295" s="60" t="s">
        <v>27</v>
      </c>
      <c r="C295" s="20" t="s">
        <v>8</v>
      </c>
      <c r="D295" s="11">
        <f t="shared" si="75"/>
        <v>3609</v>
      </c>
      <c r="E295" s="12">
        <v>3609</v>
      </c>
      <c r="F295" s="15"/>
      <c r="G295" s="15"/>
      <c r="H295" s="49">
        <f t="shared" si="76"/>
        <v>2175</v>
      </c>
      <c r="I295" s="50">
        <v>2175</v>
      </c>
      <c r="J295" s="50">
        <v>0</v>
      </c>
      <c r="K295" s="38">
        <v>0</v>
      </c>
    </row>
    <row r="296" spans="1:11" ht="26.4" customHeight="1">
      <c r="A296" s="71" t="s">
        <v>50</v>
      </c>
      <c r="B296" s="71"/>
      <c r="C296" s="72"/>
      <c r="D296" s="10">
        <f t="shared" si="75"/>
        <v>147109</v>
      </c>
      <c r="E296" s="10">
        <f>E298+E299+E300+E301+E303+E302</f>
        <v>143609</v>
      </c>
      <c r="F296" s="10">
        <f>F298+F299+F300+F301</f>
        <v>79293</v>
      </c>
      <c r="G296" s="10">
        <f>G298+G299+G300+G301</f>
        <v>3500</v>
      </c>
      <c r="H296" s="45">
        <f t="shared" si="76"/>
        <v>253006</v>
      </c>
      <c r="I296" s="45">
        <f>I298+I299+I300+I301+I303+I302</f>
        <v>248626</v>
      </c>
      <c r="J296" s="45">
        <f>J298+J299+J300+J301</f>
        <v>199650</v>
      </c>
      <c r="K296" s="37">
        <f>K298+K299+K300+K301</f>
        <v>4380</v>
      </c>
    </row>
    <row r="297" spans="1:11" ht="15" customHeight="1">
      <c r="A297" s="73">
        <v>1</v>
      </c>
      <c r="B297" s="76" t="s">
        <v>78</v>
      </c>
      <c r="C297" s="59"/>
      <c r="D297" s="11">
        <f t="shared" ref="D297:G297" si="79">+D298+D299+D301</f>
        <v>147109</v>
      </c>
      <c r="E297" s="12">
        <f t="shared" si="79"/>
        <v>143609</v>
      </c>
      <c r="F297" s="12">
        <f t="shared" si="79"/>
        <v>79293</v>
      </c>
      <c r="G297" s="12">
        <f t="shared" si="79"/>
        <v>3500</v>
      </c>
      <c r="H297" s="49">
        <f>+I297+K297</f>
        <v>252856</v>
      </c>
      <c r="I297" s="50">
        <f>+I298+I299+I301+I300</f>
        <v>248476</v>
      </c>
      <c r="J297" s="50">
        <f t="shared" ref="J297:K297" si="80">+J298+J299+J301+J300</f>
        <v>199650</v>
      </c>
      <c r="K297" s="50">
        <f t="shared" si="80"/>
        <v>4380</v>
      </c>
    </row>
    <row r="298" spans="1:11" ht="18" customHeight="1">
      <c r="A298" s="100"/>
      <c r="B298" s="102"/>
      <c r="C298" s="20" t="s">
        <v>3</v>
      </c>
      <c r="D298" s="13">
        <f t="shared" ref="D298:D304" si="81">E298+G298</f>
        <v>123676</v>
      </c>
      <c r="E298" s="14">
        <v>121504</v>
      </c>
      <c r="F298" s="14">
        <v>66715</v>
      </c>
      <c r="G298" s="14">
        <v>2172</v>
      </c>
      <c r="H298" s="48">
        <f t="shared" ref="H298:H304" si="82">I298+K298</f>
        <v>226280</v>
      </c>
      <c r="I298" s="46">
        <f>101400+122900</f>
        <v>224300</v>
      </c>
      <c r="J298" s="46">
        <f>70420+115120</f>
        <v>185540</v>
      </c>
      <c r="K298" s="35">
        <v>1980</v>
      </c>
    </row>
    <row r="299" spans="1:11" ht="18" customHeight="1">
      <c r="A299" s="100"/>
      <c r="B299" s="102"/>
      <c r="C299" s="20" t="s">
        <v>10</v>
      </c>
      <c r="D299" s="13">
        <f t="shared" si="81"/>
        <v>16475</v>
      </c>
      <c r="E299" s="14">
        <v>16475</v>
      </c>
      <c r="F299" s="14">
        <v>12578</v>
      </c>
      <c r="G299" s="14"/>
      <c r="H299" s="48">
        <f t="shared" si="82"/>
        <v>14000</v>
      </c>
      <c r="I299" s="46">
        <v>14000</v>
      </c>
      <c r="J299" s="46">
        <v>13800</v>
      </c>
      <c r="K299" s="35">
        <v>0</v>
      </c>
    </row>
    <row r="300" spans="1:11" ht="18" customHeight="1">
      <c r="A300" s="100"/>
      <c r="B300" s="102"/>
      <c r="C300" s="20" t="s">
        <v>11</v>
      </c>
      <c r="D300" s="13">
        <f t="shared" si="81"/>
        <v>0</v>
      </c>
      <c r="E300" s="14"/>
      <c r="F300" s="14"/>
      <c r="G300" s="14"/>
      <c r="H300" s="48">
        <f t="shared" si="82"/>
        <v>176</v>
      </c>
      <c r="I300" s="46">
        <v>176</v>
      </c>
      <c r="J300" s="46"/>
      <c r="K300" s="35">
        <v>0</v>
      </c>
    </row>
    <row r="301" spans="1:11" ht="18" customHeight="1">
      <c r="A301" s="101"/>
      <c r="B301" s="103"/>
      <c r="C301" s="20" t="s">
        <v>5</v>
      </c>
      <c r="D301" s="13">
        <f t="shared" si="81"/>
        <v>6958</v>
      </c>
      <c r="E301" s="14">
        <v>5630</v>
      </c>
      <c r="F301" s="14"/>
      <c r="G301" s="14">
        <v>1328</v>
      </c>
      <c r="H301" s="48">
        <f t="shared" si="82"/>
        <v>12400</v>
      </c>
      <c r="I301" s="46">
        <f>1900+8100</f>
        <v>10000</v>
      </c>
      <c r="J301" s="46">
        <v>310</v>
      </c>
      <c r="K301" s="35">
        <v>2400</v>
      </c>
    </row>
    <row r="302" spans="1:11" ht="28.2" customHeight="1">
      <c r="A302" s="58">
        <v>4</v>
      </c>
      <c r="B302" s="60" t="s">
        <v>26</v>
      </c>
      <c r="C302" s="20" t="s">
        <v>3</v>
      </c>
      <c r="D302" s="11">
        <f t="shared" si="81"/>
        <v>0</v>
      </c>
      <c r="E302" s="12">
        <v>0</v>
      </c>
      <c r="F302" s="15"/>
      <c r="G302" s="15"/>
      <c r="H302" s="49">
        <f t="shared" si="82"/>
        <v>150</v>
      </c>
      <c r="I302" s="50">
        <v>150</v>
      </c>
      <c r="J302" s="50">
        <v>0</v>
      </c>
      <c r="K302" s="38">
        <v>0</v>
      </c>
    </row>
    <row r="303" spans="1:11" ht="28.5" hidden="1" customHeight="1">
      <c r="A303" s="58">
        <v>5</v>
      </c>
      <c r="B303" s="60" t="s">
        <v>27</v>
      </c>
      <c r="C303" s="20" t="s">
        <v>8</v>
      </c>
      <c r="D303" s="25">
        <f t="shared" si="81"/>
        <v>0</v>
      </c>
      <c r="E303" s="12">
        <v>0</v>
      </c>
      <c r="F303" s="14"/>
      <c r="G303" s="14"/>
      <c r="H303" s="49">
        <f t="shared" si="82"/>
        <v>0</v>
      </c>
      <c r="I303" s="50">
        <v>0</v>
      </c>
      <c r="J303" s="50">
        <v>0</v>
      </c>
      <c r="K303" s="38">
        <v>0</v>
      </c>
    </row>
    <row r="304" spans="1:11" ht="23.4" customHeight="1">
      <c r="A304" s="71" t="s">
        <v>21</v>
      </c>
      <c r="B304" s="71"/>
      <c r="C304" s="72"/>
      <c r="D304" s="10">
        <f t="shared" si="81"/>
        <v>113867</v>
      </c>
      <c r="E304" s="10">
        <f>E306+E315</f>
        <v>112911</v>
      </c>
      <c r="F304" s="10">
        <f>F306+F315</f>
        <v>61549</v>
      </c>
      <c r="G304" s="10">
        <f>G306+G315</f>
        <v>956</v>
      </c>
      <c r="H304" s="45">
        <f t="shared" si="82"/>
        <v>182378</v>
      </c>
      <c r="I304" s="45">
        <f>I306+I315+I312</f>
        <v>182378</v>
      </c>
      <c r="J304" s="45">
        <f t="shared" ref="J304:K304" si="83">J306+J315+J312</f>
        <v>141050</v>
      </c>
      <c r="K304" s="45">
        <f t="shared" si="83"/>
        <v>0</v>
      </c>
    </row>
    <row r="305" spans="1:11" ht="15" hidden="1" customHeight="1">
      <c r="A305" s="67"/>
      <c r="B305" s="67"/>
      <c r="C305" s="68"/>
      <c r="D305" s="11"/>
      <c r="E305" s="12"/>
      <c r="F305" s="12"/>
      <c r="G305" s="12"/>
      <c r="H305" s="49"/>
      <c r="I305" s="50"/>
      <c r="J305" s="50"/>
      <c r="K305" s="38"/>
    </row>
    <row r="306" spans="1:11" ht="14.4" customHeight="1">
      <c r="A306" s="73">
        <v>1</v>
      </c>
      <c r="B306" s="76" t="s">
        <v>78</v>
      </c>
      <c r="C306" s="20"/>
      <c r="D306" s="11">
        <f t="shared" ref="D306:D315" si="84">E306+G306</f>
        <v>113501</v>
      </c>
      <c r="E306" s="12">
        <f>E307+E308+E309+E311</f>
        <v>112545</v>
      </c>
      <c r="F306" s="12">
        <f>F307+F308+F309+F311</f>
        <v>61549</v>
      </c>
      <c r="G306" s="12">
        <f>G307+G308+G309+G311</f>
        <v>956</v>
      </c>
      <c r="H306" s="49">
        <f t="shared" ref="H306:H315" si="85">I306+K306</f>
        <v>158078</v>
      </c>
      <c r="I306" s="50">
        <f>I307+I308+I309+I311+I310</f>
        <v>158078</v>
      </c>
      <c r="J306" s="50">
        <f t="shared" ref="J306:K306" si="86">J307+J308+J309+J311+J310</f>
        <v>128730</v>
      </c>
      <c r="K306" s="50">
        <f t="shared" si="86"/>
        <v>0</v>
      </c>
    </row>
    <row r="307" spans="1:11" ht="18" customHeight="1">
      <c r="A307" s="75"/>
      <c r="B307" s="78"/>
      <c r="C307" s="20" t="s">
        <v>3</v>
      </c>
      <c r="D307" s="13">
        <f t="shared" si="84"/>
        <v>57416</v>
      </c>
      <c r="E307" s="14">
        <v>57416</v>
      </c>
      <c r="F307" s="14">
        <v>40531</v>
      </c>
      <c r="G307" s="14"/>
      <c r="H307" s="48">
        <f t="shared" si="85"/>
        <v>99500</v>
      </c>
      <c r="I307" s="46">
        <v>99500</v>
      </c>
      <c r="J307" s="46">
        <v>94800</v>
      </c>
      <c r="K307" s="14">
        <v>0</v>
      </c>
    </row>
    <row r="308" spans="1:11" ht="18" customHeight="1">
      <c r="A308" s="74">
        <v>1</v>
      </c>
      <c r="B308" s="77" t="s">
        <v>78</v>
      </c>
      <c r="C308" s="20" t="s">
        <v>10</v>
      </c>
      <c r="D308" s="13">
        <f t="shared" si="84"/>
        <v>27528</v>
      </c>
      <c r="E308" s="14">
        <v>27528</v>
      </c>
      <c r="F308" s="14">
        <v>21018</v>
      </c>
      <c r="G308" s="14"/>
      <c r="H308" s="48">
        <f t="shared" si="85"/>
        <v>34425</v>
      </c>
      <c r="I308" s="46">
        <v>34425</v>
      </c>
      <c r="J308" s="46">
        <v>33930</v>
      </c>
      <c r="K308" s="35">
        <v>0</v>
      </c>
    </row>
    <row r="309" spans="1:11" ht="18" hidden="1" customHeight="1">
      <c r="A309" s="74"/>
      <c r="B309" s="77"/>
      <c r="C309" s="20" t="s">
        <v>77</v>
      </c>
      <c r="D309" s="13">
        <f t="shared" si="84"/>
        <v>0</v>
      </c>
      <c r="E309" s="14"/>
      <c r="F309" s="14"/>
      <c r="G309" s="14"/>
      <c r="H309" s="48">
        <f t="shared" si="85"/>
        <v>0</v>
      </c>
      <c r="I309" s="46"/>
      <c r="J309" s="46"/>
      <c r="K309" s="35">
        <v>0</v>
      </c>
    </row>
    <row r="310" spans="1:11" ht="18" customHeight="1">
      <c r="A310" s="74"/>
      <c r="B310" s="77"/>
      <c r="C310" s="20" t="s">
        <v>11</v>
      </c>
      <c r="D310" s="13"/>
      <c r="E310" s="14"/>
      <c r="F310" s="14"/>
      <c r="G310" s="14"/>
      <c r="H310" s="48">
        <f t="shared" ref="H310" si="87">I310+K310</f>
        <v>403</v>
      </c>
      <c r="I310" s="46">
        <v>403</v>
      </c>
      <c r="J310" s="46"/>
      <c r="K310" s="35">
        <v>0</v>
      </c>
    </row>
    <row r="311" spans="1:11" ht="18" customHeight="1">
      <c r="A311" s="75"/>
      <c r="B311" s="78"/>
      <c r="C311" s="20" t="s">
        <v>5</v>
      </c>
      <c r="D311" s="13">
        <f t="shared" si="84"/>
        <v>28557</v>
      </c>
      <c r="E311" s="14">
        <v>27601</v>
      </c>
      <c r="F311" s="14"/>
      <c r="G311" s="14">
        <v>956</v>
      </c>
      <c r="H311" s="48">
        <f t="shared" si="85"/>
        <v>23750</v>
      </c>
      <c r="I311" s="46">
        <v>23750</v>
      </c>
      <c r="J311" s="46">
        <v>0</v>
      </c>
      <c r="K311" s="35">
        <v>0</v>
      </c>
    </row>
    <row r="312" spans="1:11" ht="18" customHeight="1">
      <c r="A312" s="73">
        <v>4</v>
      </c>
      <c r="B312" s="73" t="s">
        <v>26</v>
      </c>
      <c r="C312" s="20"/>
      <c r="D312" s="13"/>
      <c r="E312" s="14"/>
      <c r="F312" s="14"/>
      <c r="G312" s="14"/>
      <c r="H312" s="49">
        <f>+I312+K312</f>
        <v>24300</v>
      </c>
      <c r="I312" s="50">
        <f>+I313+I314</f>
        <v>24300</v>
      </c>
      <c r="J312" s="50">
        <f>+J313+J314</f>
        <v>12320</v>
      </c>
      <c r="K312" s="38">
        <f>+K313+K314</f>
        <v>0</v>
      </c>
    </row>
    <row r="313" spans="1:11" ht="18" customHeight="1">
      <c r="A313" s="74"/>
      <c r="B313" s="74"/>
      <c r="C313" s="20" t="s">
        <v>3</v>
      </c>
      <c r="D313" s="11">
        <f t="shared" si="84"/>
        <v>0</v>
      </c>
      <c r="E313" s="12">
        <v>0</v>
      </c>
      <c r="F313" s="15"/>
      <c r="G313" s="15"/>
      <c r="H313" s="48">
        <f t="shared" si="85"/>
        <v>9900</v>
      </c>
      <c r="I313" s="46">
        <v>9900</v>
      </c>
      <c r="J313" s="46">
        <v>0</v>
      </c>
      <c r="K313" s="35">
        <v>0</v>
      </c>
    </row>
    <row r="314" spans="1:11" ht="18" customHeight="1">
      <c r="A314" s="75"/>
      <c r="B314" s="75"/>
      <c r="C314" s="20" t="s">
        <v>11</v>
      </c>
      <c r="D314" s="11"/>
      <c r="E314" s="12"/>
      <c r="F314" s="15"/>
      <c r="G314" s="15"/>
      <c r="H314" s="48">
        <f t="shared" ref="H314" si="88">I314+K314</f>
        <v>14400</v>
      </c>
      <c r="I314" s="46">
        <v>14400</v>
      </c>
      <c r="J314" s="46">
        <v>12320</v>
      </c>
      <c r="K314" s="35">
        <v>0</v>
      </c>
    </row>
    <row r="315" spans="1:11" ht="28.2" hidden="1" customHeight="1">
      <c r="A315" s="58">
        <v>5</v>
      </c>
      <c r="B315" s="60" t="s">
        <v>27</v>
      </c>
      <c r="C315" s="20" t="s">
        <v>8</v>
      </c>
      <c r="D315" s="11">
        <f t="shared" si="84"/>
        <v>366</v>
      </c>
      <c r="E315" s="12">
        <v>366</v>
      </c>
      <c r="F315" s="15"/>
      <c r="G315" s="15"/>
      <c r="H315" s="49">
        <f t="shared" si="85"/>
        <v>0</v>
      </c>
      <c r="I315" s="50">
        <v>0</v>
      </c>
      <c r="J315" s="50">
        <v>0</v>
      </c>
      <c r="K315" s="38">
        <v>0</v>
      </c>
    </row>
    <row r="316" spans="1:11" ht="27" customHeight="1">
      <c r="A316" s="71" t="s">
        <v>22</v>
      </c>
      <c r="B316" s="71"/>
      <c r="C316" s="72"/>
      <c r="D316" s="10">
        <f>E316+G316</f>
        <v>18527</v>
      </c>
      <c r="E316" s="10">
        <f>E318</f>
        <v>18527</v>
      </c>
      <c r="F316" s="10">
        <f>F318</f>
        <v>12788</v>
      </c>
      <c r="G316" s="10">
        <f>G317</f>
        <v>0</v>
      </c>
      <c r="H316" s="45">
        <f>I316+K316</f>
        <v>56800</v>
      </c>
      <c r="I316" s="45">
        <f>I318</f>
        <v>55700</v>
      </c>
      <c r="J316" s="45">
        <f>J318</f>
        <v>43900</v>
      </c>
      <c r="K316" s="37">
        <f>+K318</f>
        <v>1100</v>
      </c>
    </row>
    <row r="317" spans="1:11" ht="15" hidden="1" customHeight="1">
      <c r="A317" s="67"/>
      <c r="B317" s="67"/>
      <c r="C317" s="68"/>
      <c r="D317" s="11"/>
      <c r="E317" s="12"/>
      <c r="F317" s="12"/>
      <c r="G317" s="12"/>
      <c r="H317" s="49"/>
      <c r="I317" s="50"/>
      <c r="J317" s="50"/>
      <c r="K317" s="38"/>
    </row>
    <row r="318" spans="1:11" ht="28.2" customHeight="1">
      <c r="A318" s="58">
        <v>5</v>
      </c>
      <c r="B318" s="60" t="s">
        <v>27</v>
      </c>
      <c r="C318" s="20" t="s">
        <v>3</v>
      </c>
      <c r="D318" s="11">
        <f>E318+G318</f>
        <v>18527</v>
      </c>
      <c r="E318" s="15">
        <v>18527</v>
      </c>
      <c r="F318" s="15">
        <v>12788</v>
      </c>
      <c r="G318" s="15"/>
      <c r="H318" s="48">
        <f>I318+K318</f>
        <v>56800</v>
      </c>
      <c r="I318" s="46">
        <f>56800-1100</f>
        <v>55700</v>
      </c>
      <c r="J318" s="46">
        <f>50000-6100</f>
        <v>43900</v>
      </c>
      <c r="K318" s="35">
        <v>1100</v>
      </c>
    </row>
    <row r="319" spans="1:11" ht="25.95" customHeight="1">
      <c r="A319" s="71" t="s">
        <v>23</v>
      </c>
      <c r="B319" s="71"/>
      <c r="C319" s="72"/>
      <c r="D319" s="10">
        <f>E319+G319</f>
        <v>188014</v>
      </c>
      <c r="E319" s="10">
        <f>E321+E325</f>
        <v>188014</v>
      </c>
      <c r="F319" s="10">
        <f>F321</f>
        <v>103250</v>
      </c>
      <c r="G319" s="10">
        <f>G320</f>
        <v>0</v>
      </c>
      <c r="H319" s="45">
        <f>I319+K319</f>
        <v>518596</v>
      </c>
      <c r="I319" s="45">
        <f>I321+I325</f>
        <v>518596</v>
      </c>
      <c r="J319" s="45">
        <f>J321</f>
        <v>468200</v>
      </c>
      <c r="K319" s="37">
        <f>+K321</f>
        <v>0</v>
      </c>
    </row>
    <row r="320" spans="1:11" ht="15" hidden="1" customHeight="1">
      <c r="A320" s="67"/>
      <c r="B320" s="67"/>
      <c r="C320" s="68"/>
      <c r="D320" s="11"/>
      <c r="E320" s="12"/>
      <c r="F320" s="12"/>
      <c r="G320" s="12"/>
      <c r="H320" s="49"/>
      <c r="I320" s="50"/>
      <c r="J320" s="50"/>
      <c r="K320" s="38"/>
    </row>
    <row r="321" spans="1:11" ht="18" customHeight="1">
      <c r="A321" s="69">
        <v>4</v>
      </c>
      <c r="B321" s="70" t="s">
        <v>26</v>
      </c>
      <c r="C321" s="59"/>
      <c r="D321" s="11">
        <f t="shared" ref="D321:D339" si="89">E321+G321</f>
        <v>184406</v>
      </c>
      <c r="E321" s="11">
        <f>E322+E324+E323</f>
        <v>184406</v>
      </c>
      <c r="F321" s="11">
        <f>F322+F324</f>
        <v>103250</v>
      </c>
      <c r="G321" s="11">
        <f>G322+G324</f>
        <v>0</v>
      </c>
      <c r="H321" s="49">
        <f t="shared" ref="H321:H339" si="90">I321+K321</f>
        <v>516421</v>
      </c>
      <c r="I321" s="49">
        <f>+I322+I323+I324</f>
        <v>516421</v>
      </c>
      <c r="J321" s="49">
        <f t="shared" ref="J321" si="91">+J322+J323+J324</f>
        <v>468200</v>
      </c>
      <c r="K321" s="38">
        <f>+K322+K323</f>
        <v>0</v>
      </c>
    </row>
    <row r="322" spans="1:11" ht="18" customHeight="1">
      <c r="A322" s="69"/>
      <c r="B322" s="70"/>
      <c r="C322" s="20" t="s">
        <v>3</v>
      </c>
      <c r="D322" s="13">
        <f t="shared" si="89"/>
        <v>145460</v>
      </c>
      <c r="E322" s="14">
        <v>145460</v>
      </c>
      <c r="F322" s="14">
        <v>103250</v>
      </c>
      <c r="G322" s="14"/>
      <c r="H322" s="48">
        <f t="shared" si="90"/>
        <v>514700</v>
      </c>
      <c r="I322" s="46">
        <v>514700</v>
      </c>
      <c r="J322" s="46">
        <v>468200</v>
      </c>
      <c r="K322" s="35">
        <v>0</v>
      </c>
    </row>
    <row r="323" spans="1:11" ht="18" hidden="1" customHeight="1">
      <c r="A323" s="69"/>
      <c r="B323" s="70"/>
      <c r="C323" s="20" t="s">
        <v>4</v>
      </c>
      <c r="D323" s="13">
        <f t="shared" si="89"/>
        <v>0</v>
      </c>
      <c r="E323" s="14"/>
      <c r="F323" s="14"/>
      <c r="G323" s="14"/>
      <c r="H323" s="34">
        <f t="shared" si="90"/>
        <v>0</v>
      </c>
      <c r="I323" s="35"/>
      <c r="J323" s="35"/>
      <c r="K323" s="35"/>
    </row>
    <row r="324" spans="1:11" ht="18" customHeight="1">
      <c r="A324" s="69"/>
      <c r="B324" s="70"/>
      <c r="C324" s="20" t="s">
        <v>11</v>
      </c>
      <c r="D324" s="13">
        <f t="shared" si="89"/>
        <v>38946</v>
      </c>
      <c r="E324" s="14">
        <v>38946</v>
      </c>
      <c r="F324" s="14">
        <v>0</v>
      </c>
      <c r="G324" s="14"/>
      <c r="H324" s="34">
        <f t="shared" si="90"/>
        <v>1721</v>
      </c>
      <c r="I324" s="35">
        <v>1721</v>
      </c>
      <c r="J324" s="35"/>
      <c r="K324" s="35"/>
    </row>
    <row r="325" spans="1:11" ht="28.2" customHeight="1">
      <c r="A325" s="58">
        <v>5</v>
      </c>
      <c r="B325" s="60" t="s">
        <v>27</v>
      </c>
      <c r="C325" s="58" t="s">
        <v>8</v>
      </c>
      <c r="D325" s="11">
        <f t="shared" si="89"/>
        <v>3608</v>
      </c>
      <c r="E325" s="15">
        <v>3608</v>
      </c>
      <c r="F325" s="15"/>
      <c r="G325" s="15"/>
      <c r="H325" s="36">
        <f t="shared" si="90"/>
        <v>2175</v>
      </c>
      <c r="I325" s="38">
        <v>2175</v>
      </c>
      <c r="J325" s="35">
        <v>0</v>
      </c>
      <c r="K325" s="35">
        <v>0</v>
      </c>
    </row>
    <row r="326" spans="1:11" ht="22.95" customHeight="1">
      <c r="A326" s="61"/>
      <c r="B326" s="98" t="s">
        <v>91</v>
      </c>
      <c r="C326" s="99"/>
      <c r="D326" s="27" t="e">
        <f t="shared" si="89"/>
        <v>#REF!</v>
      </c>
      <c r="E326" s="27" t="e">
        <f>E319+E316+#REF!+E304+E296+E287+E278+E266+E256+E244+E232+E220+#REF!+E211+E199+E188+E175+E161+#REF!+E147+E137+E126+E115+E104+E90+E85+E76+E67+E58+E51+E46+E12</f>
        <v>#REF!</v>
      </c>
      <c r="F326" s="27" t="e">
        <f>F319+F316+#REF!+F304+F296+F287+F278+F266+F256+F244+F232+F220+#REF!+F211+F199+F188+F175+F161+#REF!+F147+F137+F126+F115+F104+F90+F85+F76+F67+F58+F51+F46+F12</f>
        <v>#REF!</v>
      </c>
      <c r="G326" s="27" t="e">
        <f>G319+G316+#REF!+G304+G296+G287+G278+G266+G256+G244+G232+G220+#REF!+G211+G199+G188+G175+G161+#REF!+G147+G137+G126+G115+G104+G90+G85+G76+G67+G58+G51+G46+G44+G12</f>
        <v>#REF!</v>
      </c>
      <c r="H326" s="42">
        <f t="shared" si="90"/>
        <v>25308571</v>
      </c>
      <c r="I326" s="42">
        <f>I319+I316+I304+I296+I287+I278+I266+I256+I244+I232+I220++I211+I199+I188+I175+I161+I147+I137+I126+I115+I104+I90+I85+I76+I67+I58+I51+I46+I12</f>
        <v>20537050</v>
      </c>
      <c r="J326" s="42">
        <f>J319+J316+J304+J296+J287+J278+J266+J256+J244+J232+J220+J211+J199+J188+J175+J161+J147+J137+J126+J115+J104+J90+J85+J76+J67+J58+J51+J46+J12</f>
        <v>13061096</v>
      </c>
      <c r="K326" s="42">
        <f>K319+K316+K304+K296+K287+K278+K266+K256+K244+K232+K220+K211+K199+K188+K175+K161+K147+K137+K126+K115+K104+K90+K85+K76+K67+K58+K51+K46+K12</f>
        <v>4771521</v>
      </c>
    </row>
    <row r="327" spans="1:11" ht="31.5" customHeight="1">
      <c r="A327" s="61"/>
      <c r="B327" s="72" t="s">
        <v>72</v>
      </c>
      <c r="C327" s="97"/>
      <c r="D327" s="27"/>
      <c r="E327" s="27"/>
      <c r="F327" s="27"/>
      <c r="G327" s="27"/>
      <c r="H327" s="42">
        <f>+I327+K327</f>
        <v>607980</v>
      </c>
      <c r="I327" s="42">
        <v>0</v>
      </c>
      <c r="J327" s="42">
        <v>0</v>
      </c>
      <c r="K327" s="42">
        <v>607980</v>
      </c>
    </row>
    <row r="328" spans="1:11" ht="30" customHeight="1">
      <c r="A328" s="58"/>
      <c r="B328" s="98" t="s">
        <v>73</v>
      </c>
      <c r="C328" s="99"/>
      <c r="D328" s="27"/>
      <c r="E328" s="27"/>
      <c r="F328" s="27"/>
      <c r="G328" s="27"/>
      <c r="H328" s="42">
        <f>+I328+K328</f>
        <v>24700591</v>
      </c>
      <c r="I328" s="42">
        <f>+I326-I327</f>
        <v>20537050</v>
      </c>
      <c r="J328" s="42">
        <f t="shared" ref="J328:K328" si="92">+J326-J327</f>
        <v>13061096</v>
      </c>
      <c r="K328" s="42">
        <f t="shared" si="92"/>
        <v>4163541</v>
      </c>
    </row>
    <row r="329" spans="1:11" ht="18" customHeight="1">
      <c r="A329" s="90" t="s">
        <v>47</v>
      </c>
      <c r="B329" s="91"/>
      <c r="C329" s="20" t="s">
        <v>3</v>
      </c>
      <c r="D329" s="25" t="e">
        <f t="shared" si="89"/>
        <v>#REF!</v>
      </c>
      <c r="E329" s="13" t="e">
        <f>E322+E318+#REF!+E298+E307+E290+E285+E281+E269+E259+E247+E235+E223+#REF!+E213+E202+E191+E178+E173+E164+#REF!+E159+E150+#REF!+E140+E129+E118+E107+E93+E87+E79+E69+E61+E53+E48+E38+E32+E27+E19+E14+E302</f>
        <v>#REF!</v>
      </c>
      <c r="F329" s="13" t="e">
        <f>F322+F318+#REF!+F298+F307+F290+F285+F285+F281+F269+F259+F247+F235+F223+#REF!+F213+F202+F191+F178+F173+F164+#REF!+F159+F150+#REF!+F140+F129+F118+F107+F93+F87+F79+F69+F61+F53+F48+F38+F32+F27+F19+F14</f>
        <v>#REF!</v>
      </c>
      <c r="G329" s="13" t="e">
        <f>G322+G318+#REF!+G307+G290+G285+G281+G269+G259+G247+G235+G223+#REF!+G213+G202+G191+G178+G164+#REF!+G159+G150+#REF!+G140+G129+G118+G107+G93+G87+G79+G69+G61+G53+G48+G38+G32+G27+G19+G14</f>
        <v>#REF!</v>
      </c>
      <c r="H329" s="43">
        <f t="shared" si="90"/>
        <v>12710146</v>
      </c>
      <c r="I329" s="44">
        <f>I322+I318+I298+I307+I290+I285+I281+I269+I259+I247+I235+I223+I213+I202+I191+I178+I173+I164+I159+I150+I140+I129+I118+I107+I93+I87+I79+I69+I61+I53+I48+I38+I32+I27+I19+I14+I302+I254+I197+I241++I112++I123+I145+I264+I75+I313+I218</f>
        <v>11405884</v>
      </c>
      <c r="J329" s="44">
        <f>J322+J318+J298+J307+J290+J285+J281+J269+J259+J247+J235+J223+J213+J202+J191+J178+J173+J164+J159+J150+J140+J129+J118+J107+J93+J87+J79+J69+J61+J53+J48+J38+J32+J27+J19+J14+J302+J254+J197+J241++J112++J123+J145+J264+J75+J313</f>
        <v>7091681</v>
      </c>
      <c r="K329" s="44">
        <f>K322+K318+K298+K307+K290+K285+K281+K269+K259+K247+K235+K223+K213+K202+K191+K178+K173+K164+K159+K150+K140+K129+K118+K107+K93+K87+K79+K69+K61+K53+K48+K38+K32+K27+K19+K14+K302+K254+K197+K241++K112++K123+K145+K264+K75+K313+K99+K218+K155</f>
        <v>1304262</v>
      </c>
    </row>
    <row r="330" spans="1:11" ht="17.399999999999999" hidden="1" customHeight="1">
      <c r="A330" s="93" t="s">
        <v>48</v>
      </c>
      <c r="B330" s="96"/>
      <c r="C330" s="20" t="s">
        <v>4</v>
      </c>
      <c r="D330" s="25" t="e">
        <f t="shared" si="89"/>
        <v>#REF!</v>
      </c>
      <c r="E330" s="13" t="e">
        <f>E323+E291+E270+E248+E236+#REF!+E203+E192+E179+E165+#REF!+E151+E141+E130+E119+E108+E94+E70+E62+#REF!+#REF!+#REF!+E224</f>
        <v>#REF!</v>
      </c>
      <c r="F330" s="13" t="e">
        <f>F323+F291+F270+F248+F236+#REF!+F203+F192+F179+F165+#REF!+F151+F141+F130+F119+F108+F94+F70+F62+#REF!+#REF!+#REF!+F224</f>
        <v>#REF!</v>
      </c>
      <c r="G330" s="13" t="e">
        <f>G323+G291+G270+G248+G236+#REF!+G203+G192+G179+G165+#REF!+G151+G141+G130+G119+G108+G94+G70+G62+#REF!+#REF!+#REF!+G224</f>
        <v>#REF!</v>
      </c>
      <c r="H330" s="43" t="e">
        <f t="shared" si="90"/>
        <v>#REF!</v>
      </c>
      <c r="I330" s="44" t="e">
        <f>++I35++I62+I70+I94+I108+I119+I130+I141+I151+#REF!+I165+I179+#REF!+I224+I236+I248+I260+I270+I323-I62-I70-I35</f>
        <v>#REF!</v>
      </c>
      <c r="J330" s="44" t="e">
        <f>J323+J291+J270+J248+J236+#REF!+J203+J192+J179+J165+#REF!+J151+J141+J130+J119+J108+J94+J70+J62++J224-J291</f>
        <v>#REF!</v>
      </c>
      <c r="K330" s="44" t="e">
        <f>K323+K291+K270+K248+K236+#REF!+K203+K192+K179+K165+#REF!+K151+K141+K130+K119+K108+K94+K70+K62+K224</f>
        <v>#REF!</v>
      </c>
    </row>
    <row r="331" spans="1:11" ht="27" customHeight="1">
      <c r="A331" s="90" t="s">
        <v>38</v>
      </c>
      <c r="B331" s="91"/>
      <c r="C331" s="20" t="s">
        <v>8</v>
      </c>
      <c r="D331" s="25" t="e">
        <f t="shared" si="89"/>
        <v>#REF!</v>
      </c>
      <c r="E331" s="13" t="e">
        <f>E325+E315+E295+E286+E277+E276+E265+#REF!+E255+E254+E243+E242+E231+E230+#REF!+#REF!+E210+E208+#REF!+E198+E186+E184+E174+E171+#REF!+#REF!+E160+E157+E146+#REF!+E136+E135+E125+E124+E114+E113+E103+E101+E84+E80+E74+E66+E54+E50+E39+E33+E20+E303</f>
        <v>#REF!</v>
      </c>
      <c r="F331" s="13" t="e">
        <f>F325+F315+F295+F286+F277+F276+F265+#REF!+F255+F254+F243+F242+F231+F230+#REF!+#REF!+F210+F208+#REF!+F198+F186+F184+F174+F171+#REF!+#REF!+F160+F157+F146+#REF!+F136+F135+F125+F124+F114+F113+F103+F101+F84+F80+F74+F66+F54+F50+F39+F33+F20</f>
        <v>#REF!</v>
      </c>
      <c r="G331" s="13" t="e">
        <f>G325+G315+G295+G286+G277+G276+G265+#REF!+G255+G254+G243+G242+G231+G230+#REF!+#REF!+G210+G208+#REF!+G198+G186+G184+G174+G171+#REF!+#REF!+G160+G157+G146+#REF!+G136+G135+G125+G124+G114+G113+G103+G101+G84+G80+G74+G66+G54+G50+G39+G33+G20</f>
        <v>#REF!</v>
      </c>
      <c r="H331" s="43">
        <f t="shared" si="90"/>
        <v>2573493</v>
      </c>
      <c r="I331" s="44">
        <f>+I20+I33+I39+I50+I54+I66+I74+I80+I84+I101+I103+I113+I114+I124+I125+I135+I136+I146+I160+I174+I184+I186+I198+I210+I231+I243+++I255+I265+I286+I295+I303+I315+I325+I277+I89+I219++I157+I171+I242</f>
        <v>2573493</v>
      </c>
      <c r="J331" s="44">
        <f>+J20+J33+J39+J50+J54+J66+J74+J80+J84+J101+J103+J113+J114+J124+J125+J135+J136+J146+J160+J174+J184+J186+J198+J210+J231+J243+J255+J265+J286+J295+J303+J315+J325+J277+J89+J219+J157+J171+J242+J253</f>
        <v>1393112</v>
      </c>
      <c r="K331" s="44">
        <f>+K20+K33+K39+K50+K54+K66+K74+K80+K84+K101+K103+K113+K114+K124+K125+K135+K136+K146+K160+K174+K184+K186+K198+K210+K231+K243+++K255+K265+K286+K295+K303+K315+K325+K277+K89+K219++K157+K171+K242+K253</f>
        <v>0</v>
      </c>
    </row>
    <row r="332" spans="1:11" ht="18" customHeight="1">
      <c r="A332" s="90" t="s">
        <v>92</v>
      </c>
      <c r="B332" s="91"/>
      <c r="C332" s="20" t="s">
        <v>10</v>
      </c>
      <c r="D332" s="25" t="e">
        <f t="shared" si="89"/>
        <v>#REF!</v>
      </c>
      <c r="E332" s="13" t="e">
        <f>E308+E299+E282+E271+E261+E249+E237+E225+#REF!+E204+E193+E180+E166+#REF!+E152+E142+E131+E120+E109+E95+E17</f>
        <v>#REF!</v>
      </c>
      <c r="F332" s="13" t="e">
        <f>F308+F299+F282+F271+F261+F249+F237+F225+#REF!+F204+F193+F180+F166+#REF!+F152+F142+F131+F120+F109+F95+F17</f>
        <v>#REF!</v>
      </c>
      <c r="G332" s="13" t="e">
        <f>G308+G299+G282+G271+G261+G249+G237+G225+#REF!+G204+G193+G180+G166+#REF!+G152+G142+G131+G120+G109+G95+G17</f>
        <v>#REF!</v>
      </c>
      <c r="H332" s="43">
        <f t="shared" si="90"/>
        <v>4599300</v>
      </c>
      <c r="I332" s="44">
        <f>I308+I299+I282+I271+I261+I249+I237+I225+I204+I193+I180+I166+I152+I142+I131+I120+I109+I95+I17+I62+I70+I214+I291</f>
        <v>4599300</v>
      </c>
      <c r="J332" s="44">
        <f>J308+J299+J282+J271+J261+J249+J237+J225+J204+J193+J180+J166+J152+J142+J131+J120+J109+J95+J17+J62+J70+J214+J291</f>
        <v>4380490</v>
      </c>
      <c r="K332" s="44">
        <f>K308+K299+K282+K271+K261+K249+K237+K225+K204+K193+K180+K166+K152+K142+K131+K120+K109+K95+K17+K62+K70+K214+K291</f>
        <v>0</v>
      </c>
    </row>
    <row r="333" spans="1:11" ht="27" customHeight="1">
      <c r="A333" s="90" t="s">
        <v>37</v>
      </c>
      <c r="B333" s="91"/>
      <c r="C333" s="20" t="s">
        <v>9</v>
      </c>
      <c r="D333" s="25" t="e">
        <f t="shared" si="89"/>
        <v>#REF!</v>
      </c>
      <c r="E333" s="13">
        <f>E59+E21</f>
        <v>0</v>
      </c>
      <c r="F333" s="13">
        <f>F59+F21</f>
        <v>0</v>
      </c>
      <c r="G333" s="13" t="e">
        <f>G59+G21+#REF!</f>
        <v>#REF!</v>
      </c>
      <c r="H333" s="43">
        <f t="shared" si="90"/>
        <v>965000</v>
      </c>
      <c r="I333" s="44">
        <v>0</v>
      </c>
      <c r="J333" s="44">
        <f>J59+J21</f>
        <v>0</v>
      </c>
      <c r="K333" s="44">
        <f>K59+K21</f>
        <v>965000</v>
      </c>
    </row>
    <row r="334" spans="1:11" ht="18" customHeight="1">
      <c r="A334" s="90" t="s">
        <v>49</v>
      </c>
      <c r="B334" s="91"/>
      <c r="C334" s="20" t="s">
        <v>11</v>
      </c>
      <c r="D334" s="25">
        <f t="shared" si="89"/>
        <v>30931</v>
      </c>
      <c r="E334" s="13">
        <f>E98</f>
        <v>30931</v>
      </c>
      <c r="F334" s="13">
        <f>F98</f>
        <v>13366</v>
      </c>
      <c r="G334" s="13">
        <f>G98</f>
        <v>0</v>
      </c>
      <c r="H334" s="43">
        <f t="shared" si="90"/>
        <v>1347431</v>
      </c>
      <c r="I334" s="44">
        <f>I98+I29+I64+I72+I216+I283++I293+I143+I153++I238+I262+I40+I49+I55+I81+I110++I121+I132+I167++I181+I194+I205+I226+I250+I272+I300+I310+I324+I16+I88+I34+I314</f>
        <v>815830</v>
      </c>
      <c r="J334" s="44">
        <f>J98+J29+J64+J72+J216+J283++J293+J143+J153++J238+J262+J40+J49+J55+J81+J110++J121+J132+J167++J181+J194+J205+J226+J250+J272+J300+J310+J324+J16+J88+J34+J314</f>
        <v>127867</v>
      </c>
      <c r="K334" s="44">
        <f>K98+K29+K64+K72+K216+K283++K293+K143+K153++K238+K262+K40+K49+K55+K81+K110++K121+K132+K167++K181+K194+K205+K226+K250+K272+K300+K310+K324+K16+K24</f>
        <v>531601</v>
      </c>
    </row>
    <row r="335" spans="1:11" ht="18" customHeight="1">
      <c r="A335" s="90" t="s">
        <v>36</v>
      </c>
      <c r="B335" s="91"/>
      <c r="C335" s="20" t="s">
        <v>6</v>
      </c>
      <c r="D335" s="25">
        <f t="shared" si="89"/>
        <v>364502</v>
      </c>
      <c r="E335" s="13">
        <f>E36+E28</f>
        <v>364502</v>
      </c>
      <c r="F335" s="13">
        <f>F36+F28</f>
        <v>0</v>
      </c>
      <c r="G335" s="13">
        <f>G36+G28</f>
        <v>0</v>
      </c>
      <c r="H335" s="43">
        <f t="shared" si="90"/>
        <v>529912</v>
      </c>
      <c r="I335" s="44">
        <f>I36+I28+I83</f>
        <v>529912</v>
      </c>
      <c r="J335" s="44">
        <f>J36+J28+J83</f>
        <v>0</v>
      </c>
      <c r="K335" s="44">
        <f>K36+K28</f>
        <v>0</v>
      </c>
    </row>
    <row r="336" spans="1:11" ht="18" customHeight="1">
      <c r="A336" s="90" t="s">
        <v>85</v>
      </c>
      <c r="B336" s="91"/>
      <c r="C336" s="20" t="s">
        <v>84</v>
      </c>
      <c r="D336" s="25" t="e">
        <f t="shared" si="89"/>
        <v>#REF!</v>
      </c>
      <c r="E336" s="13"/>
      <c r="F336" s="13" t="e">
        <f>F275+#REF!+F253+F229+F209+F197+F185+F172+#REF!+F158+#REF!+#REF!</f>
        <v>#REF!</v>
      </c>
      <c r="G336" s="13" t="e">
        <f>G275+#REF!+G253+G229+G209+G197+G185+G172+#REF!+G158+#REF!+#REF!</f>
        <v>#REF!</v>
      </c>
      <c r="H336" s="43">
        <f t="shared" si="90"/>
        <v>57779</v>
      </c>
      <c r="I336" s="44">
        <f>+I23</f>
        <v>1055</v>
      </c>
      <c r="J336" s="44">
        <f>+J23</f>
        <v>982</v>
      </c>
      <c r="K336" s="44">
        <f>+K23</f>
        <v>56724</v>
      </c>
    </row>
    <row r="337" spans="1:11" ht="18" customHeight="1">
      <c r="A337" s="90" t="s">
        <v>34</v>
      </c>
      <c r="B337" s="91"/>
      <c r="C337" s="20" t="s">
        <v>5</v>
      </c>
      <c r="D337" s="25" t="e">
        <f t="shared" si="89"/>
        <v>#REF!</v>
      </c>
      <c r="E337" s="13" t="e">
        <f>E324+E311+E301+E294+E284+E273+E263+E251+E239+E227+#REF!+E217+E206+E195+E182+E169+#REF!+E154+E144+E133+E122+E111+E96+E82+E73+E65+E56+E42+E30</f>
        <v>#REF!</v>
      </c>
      <c r="F337" s="13" t="e">
        <f>F324+F311+F301+F294+F284+F273+F263+F251+F239+F227+#REF!+F217+F206+F195+F182+F169+#REF!+F154+F144+F133+F122+F111+F96+F82+F73+F65+F56+F42+F30</f>
        <v>#REF!</v>
      </c>
      <c r="G337" s="13" t="e">
        <f>G324+G311+G301+G294+G284+G273+G263+G251+G239+G227+#REF!+G217+G206+G195+G182+G169+#REF!+G154+G144+G133+G122+G111+G96+G82+G73+G65+G56+G42+G30</f>
        <v>#REF!</v>
      </c>
      <c r="H337" s="43">
        <f t="shared" si="90"/>
        <v>526147</v>
      </c>
      <c r="I337" s="44">
        <f>I311+I301+I294+I284+I273+I263+I251+I239+I227+I217+I206+I195+I182+I169+I154+I144+I133+I122+I111+I96+I82+I73+I65+I56+I42+I30+I24+I35</f>
        <v>523747</v>
      </c>
      <c r="J337" s="44">
        <f>J311+J301+J294+J284+J273+J263+J251+J239+J227+J217+J206+J195+J182+J169+J154+J144+J133+J122+J111+J96+J82+J73+J65+J56+J42+J30+J24</f>
        <v>52105</v>
      </c>
      <c r="K337" s="44">
        <f>K311+K301+K294+K284+K273+K263+K251+K239+K227+K217+K206+K195+K182+K169+K154+K144+K133+K122+K111+K96+K82+K73+K65+K56+K42+K30+K24-K24</f>
        <v>2400</v>
      </c>
    </row>
    <row r="338" spans="1:11" ht="18" customHeight="1">
      <c r="A338" s="90" t="s">
        <v>83</v>
      </c>
      <c r="B338" s="91"/>
      <c r="C338" s="20" t="s">
        <v>77</v>
      </c>
      <c r="D338" s="25" t="e">
        <f t="shared" si="89"/>
        <v>#REF!</v>
      </c>
      <c r="E338" s="13" t="e">
        <f>E309+E300+E283+E262+E226+#REF!+E214+E205+E194+E181+E167+E153+E143+E134+#REF!+#REF!+E97+#REF!+#REF!+#REF!</f>
        <v>#REF!</v>
      </c>
      <c r="F338" s="13" t="e">
        <f>F309+F300+F283+F262+F226+#REF!+F214+F205+F194+F181+F167+F153+F143+F134+#REF!+#REF!+F97+#REF!+#REF!+#REF!</f>
        <v>#REF!</v>
      </c>
      <c r="G338" s="13" t="e">
        <f>G309+G300+G283+G262+G226+#REF!+G214+G205+G194+G181+G167+G153+G143+G134+#REF!+#REF!+G97+#REF!+#REF!+#REF!</f>
        <v>#REF!</v>
      </c>
      <c r="H338" s="43">
        <f t="shared" si="90"/>
        <v>1099363</v>
      </c>
      <c r="I338" s="44">
        <f>+I15+I63+I71+I215+I292+I309+I22+I41+I168</f>
        <v>87829</v>
      </c>
      <c r="J338" s="44">
        <f>+J15+J63+J71+J215+J292+J309+J22+J41+J168</f>
        <v>14859</v>
      </c>
      <c r="K338" s="44">
        <f>+K15+K63+K71+K215+K292+K309+K22+K41+K168</f>
        <v>1011534</v>
      </c>
    </row>
    <row r="339" spans="1:11" ht="18" customHeight="1">
      <c r="A339" s="90" t="s">
        <v>35</v>
      </c>
      <c r="B339" s="91"/>
      <c r="C339" s="20" t="s">
        <v>7</v>
      </c>
      <c r="D339" s="25">
        <f t="shared" si="89"/>
        <v>1402629</v>
      </c>
      <c r="E339" s="13">
        <f>E25+E89</f>
        <v>0</v>
      </c>
      <c r="F339" s="13">
        <f>F25+F89</f>
        <v>0</v>
      </c>
      <c r="G339" s="13">
        <f>G25+G89+G211</f>
        <v>1402629</v>
      </c>
      <c r="H339" s="43">
        <f t="shared" si="90"/>
        <v>900000</v>
      </c>
      <c r="I339" s="44">
        <f>I25+I89-I89</f>
        <v>0</v>
      </c>
      <c r="J339" s="44">
        <f>J25+J89</f>
        <v>0</v>
      </c>
      <c r="K339" s="44">
        <f>K25+K89-K89+K88</f>
        <v>900000</v>
      </c>
    </row>
    <row r="340" spans="1:11" ht="30" customHeight="1">
      <c r="A340" s="58">
        <v>1</v>
      </c>
      <c r="B340" s="93" t="s">
        <v>78</v>
      </c>
      <c r="C340" s="94"/>
      <c r="D340" s="25" t="e">
        <f>D306+D296+D289+D280+D268+D258+D246+D234+D222+#REF!+D211+D201+D190+D177+D163+#REF!+D149+D139+D128+D117+D106+D92+D68+D60+D13</f>
        <v>#REF!</v>
      </c>
      <c r="E340" s="13" t="e">
        <f>E306+E296+E289+E280+E268+E258+E246+E234+E222+#REF!+E211+E201+E190+E177+E163+#REF!+E149+E139+E128+E117+E106+E92+E68+E60+E13</f>
        <v>#REF!</v>
      </c>
      <c r="F340" s="13" t="e">
        <f>F306+F296+F289+F280+F268+F258+F246+F234+F222+#REF!+F211+F201+F190+F177+F163+#REF!+F149+F139+F128+F117+F106+F92+F68+F60+F13</f>
        <v>#REF!</v>
      </c>
      <c r="G340" s="13" t="e">
        <f>G306+G296+G289+G280+G268+G258+G246+G234+G222+#REF!+G211+G201+G190+G177+G163+#REF!+G149+G139+G128+G117+G106+G92+G68+G60+G13</f>
        <v>#REF!</v>
      </c>
      <c r="H340" s="43">
        <f>H306+H297+H289+H280+H268+H258+H246+H234+H222+H212+H201+H190+H177+H163+H149+H139+H128+H117+H106+H92+H68+H60+H13</f>
        <v>10082819</v>
      </c>
      <c r="I340" s="44">
        <f>I306+I297+I289+I280+I268+I258+I246+I234+I222+I212+I201+I190+I177+I163+I149+I139+I128+I117+I106+I92+I68+I60+I13</f>
        <v>10033827</v>
      </c>
      <c r="J340" s="44">
        <f>J306+J296+J289+J280+J268+J258+J246+J234+J222+J211+J201+J190+J177+J163+J149+J139+J128+J117+J106+J92+J68+J60+J13</f>
        <v>8319449</v>
      </c>
      <c r="K340" s="44">
        <f>K306+K296+K289+K280+K268+K258+K246+K234+K222+K201+K190+K177+K163+K149+K139+K128+K117+K106+K92+K68+K60+K13</f>
        <v>48992</v>
      </c>
    </row>
    <row r="341" spans="1:11" ht="30" customHeight="1">
      <c r="A341" s="58">
        <v>2</v>
      </c>
      <c r="B341" s="93" t="s">
        <v>24</v>
      </c>
      <c r="C341" s="94"/>
      <c r="D341" s="25">
        <f>D18+D59+D218</f>
        <v>1174592</v>
      </c>
      <c r="E341" s="13">
        <f>E18+E59</f>
        <v>310132</v>
      </c>
      <c r="F341" s="13">
        <f>F18+F59</f>
        <v>20273</v>
      </c>
      <c r="G341" s="13">
        <f>G18+G59+G218</f>
        <v>864460</v>
      </c>
      <c r="H341" s="43">
        <f>H18+H59+H218+H112+H197++H123+H145+H264+H155+H99+H75</f>
        <v>3879767</v>
      </c>
      <c r="I341" s="44">
        <f>I18+I59+I218+I112+I197++I123+I145+I264+I75</f>
        <v>407085</v>
      </c>
      <c r="J341" s="44">
        <f>J18+J59+J218+J112+J197++J123+J145+J264+J75</f>
        <v>17541</v>
      </c>
      <c r="K341" s="44">
        <f>K18+K59+K218+K112+K197++K123+K145+K264+K75+K99+K155</f>
        <v>3472682</v>
      </c>
    </row>
    <row r="342" spans="1:11" ht="25.2" customHeight="1">
      <c r="A342" s="58">
        <v>3</v>
      </c>
      <c r="B342" s="93" t="s">
        <v>25</v>
      </c>
      <c r="C342" s="94"/>
      <c r="D342" s="25">
        <f t="shared" ref="D342:K342" si="93">D26</f>
        <v>1115861</v>
      </c>
      <c r="E342" s="13">
        <f t="shared" si="93"/>
        <v>1112994</v>
      </c>
      <c r="F342" s="13">
        <f t="shared" si="93"/>
        <v>41155</v>
      </c>
      <c r="G342" s="13">
        <f t="shared" si="93"/>
        <v>2867</v>
      </c>
      <c r="H342" s="43">
        <f t="shared" si="93"/>
        <v>2535246</v>
      </c>
      <c r="I342" s="44">
        <f t="shared" si="93"/>
        <v>1933988</v>
      </c>
      <c r="J342" s="44">
        <f t="shared" si="93"/>
        <v>150900</v>
      </c>
      <c r="K342" s="44">
        <f t="shared" si="93"/>
        <v>601258</v>
      </c>
    </row>
    <row r="343" spans="1:11" ht="25.2" customHeight="1">
      <c r="A343" s="58">
        <v>4</v>
      </c>
      <c r="B343" s="93" t="s">
        <v>26</v>
      </c>
      <c r="C343" s="94"/>
      <c r="D343" s="25" t="e">
        <f>D321+D285+D274+D264+D252+D242+D228+#REF!+D207+D196+D183+D170+#REF!+D156+D145+D135+D124+D113+D101+D78+D46+D31+D302</f>
        <v>#REF!</v>
      </c>
      <c r="E343" s="13" t="e">
        <f>E321+E285+E274+E264+E252+E242+E228+#REF!+E207+E196+E183+E170+#REF!+E156+E145+E135+E124+E113+E101+E78+E46+E31+E302</f>
        <v>#REF!</v>
      </c>
      <c r="F343" s="13" t="e">
        <f>F321+F285+F274+F264+F252+F242+F228+#REF!+F207+F196+F183+F170+#REF!+F156+F145+F135+F124+F113+F101+F78+F46+F31</f>
        <v>#REF!</v>
      </c>
      <c r="G343" s="13" t="e">
        <f>G321+G285+G274+G264+G252+G242+G228+#REF!+G207+G196+G183+G170+#REF!+G156+G145+G135+G124+G113+G101+G78+G46+G31</f>
        <v>#REF!</v>
      </c>
      <c r="H343" s="43">
        <f>H321+H285+H274+H264+H252+H240+H228+H207+H196+H183+H170+H156+H145+H135+H124+H113+H101+H78+H46+H31+H302-H264-H145+H312</f>
        <v>4701411</v>
      </c>
      <c r="I343" s="44">
        <f>I321+I285+I274+I264+I252+I240+I228+I207+I196+I183+I170+I156+I145+I135+I124+I113+I101+I78+I46+I31+I302-I264-I145+I312</f>
        <v>4701411</v>
      </c>
      <c r="J343" s="44">
        <f>J321+J285+J274+J264+J252+J240+J228+J207+J196+J183+J170+J156+J145+J135+J124+J113+J101+J78+J46+J31+J302-J264-J145+J312</f>
        <v>1970155</v>
      </c>
      <c r="K343" s="44">
        <f>K321+K285+K274+K264+K252+K240+K228+K207+K196+K183+K170+K156+K145+K135+K124+K113+K101+K78+K46+K31+K302-K264-K145</f>
        <v>0</v>
      </c>
    </row>
    <row r="344" spans="1:11" ht="30" customHeight="1">
      <c r="A344" s="58">
        <v>5</v>
      </c>
      <c r="B344" s="93" t="s">
        <v>27</v>
      </c>
      <c r="C344" s="94"/>
      <c r="D344" s="25" t="e">
        <f>D325+D318+#REF!+D315+D295+D286+D277+D265+D255+D243+D231+#REF!+D210+D198+D186+D174+#REF!+D160+D146+D136+D125+D114+D103+D85+D84+D74+D66+D51+D37+D303</f>
        <v>#REF!</v>
      </c>
      <c r="E344" s="13" t="e">
        <f>E325+E318+#REF!+E315+E295+E286+E277+E265+E255+E243+E231+#REF!+E210+E198+E186+E174+#REF!+E160+E146+E136+E125+E114+E103+E85+E84+E74+E66+E51+E37+E303</f>
        <v>#REF!</v>
      </c>
      <c r="F344" s="13" t="e">
        <f>F325+F318+#REF!+F315+F295+F286+F277+F265+F255+F243+F231+#REF!+F210+F198+F186+F174+#REF!+F160+F146+F136+F125+F114+F103+F85+F84+F74+F66+F51+F37+F303</f>
        <v>#REF!</v>
      </c>
      <c r="G344" s="13" t="e">
        <f>G325+G318+#REF!+G315+G295+G286+G277+G265+G255+G243+G231+#REF!+G210+G198+G186+G174+#REF!+G160+G146+G136+G125+G114+G103+G85+G84+G74+G66+G51+G37+G303</f>
        <v>#REF!</v>
      </c>
      <c r="H344" s="43">
        <f>H325+H318+H315+H295+H286+H277+H265+H255+H243+H231+H210+H198+H186+H174+H160+H146+H136+H125+H114+H103+H85+H84+H74+H66+H51+H37+H303+H219</f>
        <v>4109328</v>
      </c>
      <c r="I344" s="44">
        <f>I325+I318+I315+I295+I286+I277+I265+I255+I243+I231+I210+I198+I186+I174+I160+I146+I136+I125+I114+I103+I85+I84+I74+I66+I51+I37+I303+I219</f>
        <v>3460739</v>
      </c>
      <c r="J344" s="44">
        <f>J325+J318+J315+J295+J286+J277+J265+J255+J243+J231+J210+J198+J186+J174+J160+J146+J136+J125+J114+J103+J85+J84+J74+J66+J51+J37+J303+J219</f>
        <v>2603051</v>
      </c>
      <c r="K344" s="44">
        <f>K325+K318+K315+K295+K286+K277+K265+K255+K243+K231+K210+K198+K186+K174+K160+K146+K136+K125+K114+K103+K85+K84+K74+K66+K51+K37+K303+K219</f>
        <v>648589</v>
      </c>
    </row>
    <row r="345" spans="1:11" hidden="1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1:11" ht="18" hidden="1" customHeight="1">
      <c r="A346" s="31" t="s">
        <v>51</v>
      </c>
      <c r="B346" s="88" t="s">
        <v>52</v>
      </c>
      <c r="C346" s="89"/>
      <c r="D346" s="62"/>
      <c r="E346" s="62"/>
      <c r="F346" s="62"/>
      <c r="G346" s="62"/>
      <c r="H346" s="32">
        <v>1968588</v>
      </c>
      <c r="I346" s="33">
        <v>1361159</v>
      </c>
      <c r="J346" s="33">
        <v>719695</v>
      </c>
      <c r="K346" s="33">
        <v>607429</v>
      </c>
    </row>
    <row r="347" spans="1:11" ht="18" hidden="1" customHeight="1">
      <c r="A347" s="31" t="s">
        <v>71</v>
      </c>
      <c r="B347" s="88" t="s">
        <v>53</v>
      </c>
      <c r="C347" s="89"/>
      <c r="D347" s="62"/>
      <c r="E347" s="62"/>
      <c r="F347" s="62"/>
      <c r="G347" s="62"/>
      <c r="H347" s="32">
        <v>18728</v>
      </c>
      <c r="I347" s="33">
        <v>18728</v>
      </c>
      <c r="J347" s="33">
        <v>12587</v>
      </c>
      <c r="K347" s="33">
        <v>0</v>
      </c>
    </row>
    <row r="348" spans="1:11" ht="18" hidden="1" customHeight="1">
      <c r="A348" s="31" t="s">
        <v>54</v>
      </c>
      <c r="B348" s="88" t="s">
        <v>55</v>
      </c>
      <c r="C348" s="89"/>
      <c r="D348" s="62"/>
      <c r="E348" s="62"/>
      <c r="F348" s="62"/>
      <c r="G348" s="62"/>
      <c r="H348" s="32">
        <v>419521</v>
      </c>
      <c r="I348" s="33">
        <v>419521</v>
      </c>
      <c r="J348" s="33">
        <v>263963</v>
      </c>
      <c r="K348" s="33">
        <v>0</v>
      </c>
    </row>
    <row r="349" spans="1:11" ht="18" hidden="1" customHeight="1">
      <c r="A349" s="31" t="s">
        <v>56</v>
      </c>
      <c r="B349" s="88" t="s">
        <v>57</v>
      </c>
      <c r="C349" s="89"/>
      <c r="D349" s="62"/>
      <c r="E349" s="62"/>
      <c r="F349" s="62"/>
      <c r="G349" s="62"/>
      <c r="H349" s="32">
        <v>837479</v>
      </c>
      <c r="I349" s="33">
        <v>589795</v>
      </c>
      <c r="J349" s="33">
        <v>126400</v>
      </c>
      <c r="K349" s="33">
        <v>247684</v>
      </c>
    </row>
    <row r="350" spans="1:11" ht="18" hidden="1" customHeight="1">
      <c r="A350" s="31" t="s">
        <v>58</v>
      </c>
      <c r="B350" s="88" t="s">
        <v>59</v>
      </c>
      <c r="C350" s="89"/>
      <c r="D350" s="62"/>
      <c r="E350" s="62"/>
      <c r="F350" s="62"/>
      <c r="G350" s="62"/>
      <c r="H350" s="32">
        <v>728527</v>
      </c>
      <c r="I350" s="33">
        <v>647958</v>
      </c>
      <c r="J350" s="33">
        <v>8819</v>
      </c>
      <c r="K350" s="33">
        <v>80569</v>
      </c>
    </row>
    <row r="351" spans="1:11" ht="18" hidden="1" customHeight="1">
      <c r="A351" s="31" t="s">
        <v>60</v>
      </c>
      <c r="B351" s="88" t="s">
        <v>61</v>
      </c>
      <c r="C351" s="89"/>
      <c r="D351" s="62"/>
      <c r="E351" s="62"/>
      <c r="F351" s="62"/>
      <c r="G351" s="62"/>
      <c r="H351" s="32">
        <v>264348</v>
      </c>
      <c r="I351" s="33">
        <v>240183</v>
      </c>
      <c r="J351" s="33">
        <v>33925</v>
      </c>
      <c r="K351" s="33">
        <v>24165</v>
      </c>
    </row>
    <row r="352" spans="1:11" ht="18" hidden="1" customHeight="1">
      <c r="A352" s="31" t="s">
        <v>62</v>
      </c>
      <c r="B352" s="88" t="s">
        <v>63</v>
      </c>
      <c r="C352" s="89"/>
      <c r="D352" s="62"/>
      <c r="E352" s="62"/>
      <c r="F352" s="62"/>
      <c r="G352" s="62"/>
      <c r="H352" s="32">
        <v>205306</v>
      </c>
      <c r="I352" s="33">
        <v>103939</v>
      </c>
      <c r="J352" s="33">
        <v>42242</v>
      </c>
      <c r="K352" s="33">
        <v>101367</v>
      </c>
    </row>
    <row r="353" spans="1:11" ht="18" hidden="1" customHeight="1">
      <c r="A353" s="31" t="s">
        <v>64</v>
      </c>
      <c r="B353" s="88" t="s">
        <v>65</v>
      </c>
      <c r="C353" s="89"/>
      <c r="D353" s="62"/>
      <c r="E353" s="62"/>
      <c r="F353" s="62"/>
      <c r="G353" s="62"/>
      <c r="H353" s="32">
        <v>1197686</v>
      </c>
      <c r="I353" s="33">
        <v>1012547</v>
      </c>
      <c r="J353" s="33">
        <v>584240</v>
      </c>
      <c r="K353" s="33">
        <v>185139</v>
      </c>
    </row>
    <row r="354" spans="1:11" ht="18" hidden="1" customHeight="1">
      <c r="A354" s="31" t="s">
        <v>66</v>
      </c>
      <c r="B354" s="88" t="s">
        <v>67</v>
      </c>
      <c r="C354" s="89"/>
      <c r="D354" s="62"/>
      <c r="E354" s="62"/>
      <c r="F354" s="62"/>
      <c r="G354" s="62"/>
      <c r="H354" s="32">
        <v>7246746</v>
      </c>
      <c r="I354" s="33">
        <v>7102560</v>
      </c>
      <c r="J354" s="33">
        <v>4318132</v>
      </c>
      <c r="K354" s="33">
        <v>144186</v>
      </c>
    </row>
    <row r="355" spans="1:11" ht="18" hidden="1" customHeight="1">
      <c r="A355" s="31" t="s">
        <v>68</v>
      </c>
      <c r="B355" s="88" t="s">
        <v>69</v>
      </c>
      <c r="C355" s="89"/>
      <c r="D355" s="62"/>
      <c r="E355" s="62"/>
      <c r="F355" s="62"/>
      <c r="G355" s="62"/>
      <c r="H355" s="32">
        <v>2993728</v>
      </c>
      <c r="I355" s="33">
        <v>2669756</v>
      </c>
      <c r="J355" s="33">
        <v>500702</v>
      </c>
      <c r="K355" s="33">
        <v>323972</v>
      </c>
    </row>
    <row r="356" spans="1:11">
      <c r="C356" s="7" t="s">
        <v>70</v>
      </c>
    </row>
  </sheetData>
  <mergeCells count="184">
    <mergeCell ref="A139:A140"/>
    <mergeCell ref="B139:B140"/>
    <mergeCell ref="B142:B144"/>
    <mergeCell ref="A142:A144"/>
    <mergeCell ref="B306:B307"/>
    <mergeCell ref="B308:B311"/>
    <mergeCell ref="A306:A307"/>
    <mergeCell ref="A308:A311"/>
    <mergeCell ref="C4:K4"/>
    <mergeCell ref="A333:B333"/>
    <mergeCell ref="A330:B330"/>
    <mergeCell ref="A329:B329"/>
    <mergeCell ref="A331:B331"/>
    <mergeCell ref="A332:B332"/>
    <mergeCell ref="B327:C327"/>
    <mergeCell ref="B328:C328"/>
    <mergeCell ref="A258:A263"/>
    <mergeCell ref="A257:C257"/>
    <mergeCell ref="A320:C320"/>
    <mergeCell ref="A317:C317"/>
    <mergeCell ref="A316:C316"/>
    <mergeCell ref="A319:C319"/>
    <mergeCell ref="B326:C326"/>
    <mergeCell ref="A321:A324"/>
    <mergeCell ref="B321:B324"/>
    <mergeCell ref="A78:A83"/>
    <mergeCell ref="A297:A301"/>
    <mergeCell ref="B297:B301"/>
    <mergeCell ref="A296:C296"/>
    <mergeCell ref="A312:A314"/>
    <mergeCell ref="B312:B314"/>
    <mergeCell ref="B352:C352"/>
    <mergeCell ref="B353:C353"/>
    <mergeCell ref="B354:C354"/>
    <mergeCell ref="B355:C355"/>
    <mergeCell ref="B346:C346"/>
    <mergeCell ref="B347:C347"/>
    <mergeCell ref="B348:C348"/>
    <mergeCell ref="B349:C349"/>
    <mergeCell ref="B350:C350"/>
    <mergeCell ref="B351:C351"/>
    <mergeCell ref="A339:B339"/>
    <mergeCell ref="A334:B334"/>
    <mergeCell ref="A345:K345"/>
    <mergeCell ref="B344:C344"/>
    <mergeCell ref="B340:C340"/>
    <mergeCell ref="B341:C341"/>
    <mergeCell ref="B342:C342"/>
    <mergeCell ref="B343:C343"/>
    <mergeCell ref="A335:B335"/>
    <mergeCell ref="A336:B336"/>
    <mergeCell ref="A338:B338"/>
    <mergeCell ref="A337:B337"/>
    <mergeCell ref="B13:B17"/>
    <mergeCell ref="E9:F9"/>
    <mergeCell ref="A52:C52"/>
    <mergeCell ref="A289:A294"/>
    <mergeCell ref="B289:B294"/>
    <mergeCell ref="A279:C279"/>
    <mergeCell ref="A305:C305"/>
    <mergeCell ref="A304:C304"/>
    <mergeCell ref="A211:C211"/>
    <mergeCell ref="A199:C199"/>
    <mergeCell ref="A234:A239"/>
    <mergeCell ref="A233:C233"/>
    <mergeCell ref="A220:C220"/>
    <mergeCell ref="B234:B239"/>
    <mergeCell ref="A228:A230"/>
    <mergeCell ref="B228:B230"/>
    <mergeCell ref="A221:C221"/>
    <mergeCell ref="A48:A50"/>
    <mergeCell ref="B37:B42"/>
    <mergeCell ref="A68:A73"/>
    <mergeCell ref="B68:B73"/>
    <mergeCell ref="A60:A65"/>
    <mergeCell ref="B60:B65"/>
    <mergeCell ref="B18:B25"/>
    <mergeCell ref="A13:A17"/>
    <mergeCell ref="K9:K10"/>
    <mergeCell ref="D9:D10"/>
    <mergeCell ref="A244:C244"/>
    <mergeCell ref="G9:G10"/>
    <mergeCell ref="B163:B169"/>
    <mergeCell ref="A147:C147"/>
    <mergeCell ref="A115:C115"/>
    <mergeCell ref="B117:B122"/>
    <mergeCell ref="A117:A122"/>
    <mergeCell ref="A116:C116"/>
    <mergeCell ref="A163:A169"/>
    <mergeCell ref="A161:C161"/>
    <mergeCell ref="A127:C127"/>
    <mergeCell ref="A156:A159"/>
    <mergeCell ref="A126:C126"/>
    <mergeCell ref="A58:C58"/>
    <mergeCell ref="B26:B30"/>
    <mergeCell ref="A53:A56"/>
    <mergeCell ref="B53:B56"/>
    <mergeCell ref="B156:B159"/>
    <mergeCell ref="B128:B134"/>
    <mergeCell ref="A26:A30"/>
    <mergeCell ref="A162:C162"/>
    <mergeCell ref="B92:B98"/>
    <mergeCell ref="A106:A111"/>
    <mergeCell ref="A7:K7"/>
    <mergeCell ref="A252:A254"/>
    <mergeCell ref="B252:B254"/>
    <mergeCell ref="B222:B227"/>
    <mergeCell ref="A222:A227"/>
    <mergeCell ref="A85:C85"/>
    <mergeCell ref="B149:B154"/>
    <mergeCell ref="A149:A154"/>
    <mergeCell ref="A245:C245"/>
    <mergeCell ref="A246:A251"/>
    <mergeCell ref="A105:C105"/>
    <mergeCell ref="B9:B10"/>
    <mergeCell ref="C9:C10"/>
    <mergeCell ref="H9:H10"/>
    <mergeCell ref="I9:J9"/>
    <mergeCell ref="A18:A25"/>
    <mergeCell ref="B48:B50"/>
    <mergeCell ref="A9:A10"/>
    <mergeCell ref="A12:C12"/>
    <mergeCell ref="A46:C46"/>
    <mergeCell ref="A51:C51"/>
    <mergeCell ref="B31:B36"/>
    <mergeCell ref="A87:A89"/>
    <mergeCell ref="B87:B89"/>
    <mergeCell ref="A104:C104"/>
    <mergeCell ref="A148:C148"/>
    <mergeCell ref="A128:A134"/>
    <mergeCell ref="A100:A102"/>
    <mergeCell ref="B100:B102"/>
    <mergeCell ref="A137:C137"/>
    <mergeCell ref="A138:C138"/>
    <mergeCell ref="A90:C90"/>
    <mergeCell ref="A31:A36"/>
    <mergeCell ref="A67:C67"/>
    <mergeCell ref="B106:B111"/>
    <mergeCell ref="A91:C91"/>
    <mergeCell ref="A92:A98"/>
    <mergeCell ref="A47:C47"/>
    <mergeCell ref="A77:C77"/>
    <mergeCell ref="A76:C76"/>
    <mergeCell ref="B78:B83"/>
    <mergeCell ref="A37:A42"/>
    <mergeCell ref="A43:A44"/>
    <mergeCell ref="A177:A182"/>
    <mergeCell ref="B170:B173"/>
    <mergeCell ref="B177:B182"/>
    <mergeCell ref="A201:A206"/>
    <mergeCell ref="A189:C189"/>
    <mergeCell ref="A176:C176"/>
    <mergeCell ref="A170:A173"/>
    <mergeCell ref="B183:B185"/>
    <mergeCell ref="A188:C188"/>
    <mergeCell ref="A190:A195"/>
    <mergeCell ref="B190:B195"/>
    <mergeCell ref="A175:C175"/>
    <mergeCell ref="B207:B209"/>
    <mergeCell ref="A196:A197"/>
    <mergeCell ref="B196:B197"/>
    <mergeCell ref="A183:A185"/>
    <mergeCell ref="B201:B206"/>
    <mergeCell ref="B246:B251"/>
    <mergeCell ref="A232:C232"/>
    <mergeCell ref="A256:C256"/>
    <mergeCell ref="A200:C200"/>
    <mergeCell ref="A240:A242"/>
    <mergeCell ref="B240:B242"/>
    <mergeCell ref="A207:A209"/>
    <mergeCell ref="B212:B217"/>
    <mergeCell ref="A212:A217"/>
    <mergeCell ref="A288:C288"/>
    <mergeCell ref="A268:A273"/>
    <mergeCell ref="B268:B273"/>
    <mergeCell ref="A278:C278"/>
    <mergeCell ref="B258:B263"/>
    <mergeCell ref="A266:C266"/>
    <mergeCell ref="A267:C267"/>
    <mergeCell ref="A274:A276"/>
    <mergeCell ref="B274:B276"/>
    <mergeCell ref="A287:C287"/>
    <mergeCell ref="B280:B284"/>
    <mergeCell ref="A280:A284"/>
  </mergeCells>
  <phoneticPr fontId="1" type="noConversion"/>
  <conditionalFormatting sqref="H320:H325 H317:H318 H279:H286 H267:H277 H297:H303 D297:D303 D305:D312 D320:D325 D317:D318 E321:G321 D288:D295 D279:D286 D267:D277 H245:H255 H208:H210 H191:H195 H171:H174 H162 H157:H160 H148 H223:H231 H176 H178:H182 H184:H187 H189 H200 H202:H206 H221 D245:D255 D233:D243 D208:D210 D191:D195 D171:D174 D162 D157:D160 D148 D223:D231 D150:D155 D164:D169 D176 D178:D182 D184:D187 D189 D200 D202:D206 D221 D212:D219 H140:H144 H116 H127 H138 D140:D144 D129:D136 D116 D127 D138 H101:H103 H105 D101:D103 D91:D99 D105 D107:D109 D77:D84 D59:D66 D52:D57 D47:D50 H288:H295 H59:H66 H47:H50 H52:H57 H129:H136 H305:H312 H212:H219 H86:H89 D86:D89 H233:H243 D111:D114 H107:H111 H113:H114 H197:H198 D197:D198 H146 D146 H257:H265 D257:D265 D118:D125 H118:H125 I321:J321 H91:H99 H150:H155 H164:H169 D13:D45 H13:H45 D68:D75 H68:H75 H315 D315 H77:H84 D329:K344">
    <cfRule type="cellIs" dxfId="2" priority="18" stopIfTrue="1" operator="equal">
      <formula>0</formula>
    </cfRule>
  </conditionalFormatting>
  <conditionalFormatting sqref="H112">
    <cfRule type="cellIs" dxfId="1" priority="12" stopIfTrue="1" operator="equal">
      <formula>0</formula>
    </cfRule>
  </conditionalFormatting>
  <conditionalFormatting sqref="D313:D314 H313:H314">
    <cfRule type="cellIs" dxfId="0" priority="11" stopIfTrue="1" operator="equal">
      <formula>0</formula>
    </cfRule>
  </conditionalFormatting>
  <pageMargins left="0.39370078740157483" right="0.19685039370078741" top="0.78740157480314965" bottom="0.39370078740157483" header="0.31496062992125984" footer="0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'2021'!Spausdinti_pavadinimus</vt:lpstr>
    </vt:vector>
  </TitlesOfParts>
  <Company>Eksitonas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Aidas</dc:creator>
  <cp:lastModifiedBy>grazina_s</cp:lastModifiedBy>
  <cp:lastPrinted>2021-08-03T12:20:47Z</cp:lastPrinted>
  <dcterms:created xsi:type="dcterms:W3CDTF">2008-12-14T21:40:51Z</dcterms:created>
  <dcterms:modified xsi:type="dcterms:W3CDTF">2021-08-03T12:22:22Z</dcterms:modified>
</cp:coreProperties>
</file>