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5195" windowHeight="11760"/>
  </bookViews>
  <sheets>
    <sheet name="Priedas 3" sheetId="5" r:id="rId1"/>
    <sheet name="Lapas1" sheetId="6" r:id="rId2"/>
  </sheets>
  <definedNames>
    <definedName name="_xlnm.Print_Titles" localSheetId="0">'Priedas 3'!$19:$22</definedName>
  </definedNames>
  <calcPr calcId="125725"/>
</workbook>
</file>

<file path=xl/calcChain.xml><?xml version="1.0" encoding="utf-8"?>
<calcChain xmlns="http://schemas.openxmlformats.org/spreadsheetml/2006/main">
  <c r="D192" i="5"/>
  <c r="J166" l="1"/>
  <c r="J164"/>
  <c r="J162"/>
  <c r="J160"/>
  <c r="J158"/>
  <c r="J155"/>
  <c r="J154"/>
  <c r="J151"/>
  <c r="J148"/>
  <c r="J145"/>
  <c r="J140"/>
  <c r="J138"/>
  <c r="J134"/>
  <c r="N124" l="1"/>
  <c r="N290" l="1"/>
  <c r="N283"/>
  <c r="N285"/>
  <c r="D80" l="1"/>
  <c r="E80" s="1"/>
  <c r="D69"/>
  <c r="D71"/>
  <c r="D218"/>
  <c r="M208"/>
  <c r="N208" l="1"/>
  <c r="O119"/>
  <c r="P119"/>
  <c r="M119"/>
  <c r="N248"/>
  <c r="O248"/>
  <c r="P248"/>
  <c r="M248"/>
  <c r="N204" l="1"/>
  <c r="N214"/>
  <c r="N213"/>
  <c r="N38"/>
  <c r="N228"/>
  <c r="N227"/>
  <c r="N224"/>
  <c r="N217"/>
  <c r="N207"/>
  <c r="N47"/>
  <c r="N148"/>
  <c r="N162"/>
  <c r="N164"/>
  <c r="N166"/>
  <c r="N201" l="1"/>
  <c r="N48"/>
  <c r="N46"/>
  <c r="N196"/>
  <c r="N160"/>
  <c r="N37"/>
  <c r="N49"/>
  <c r="N261"/>
  <c r="N260"/>
  <c r="N262"/>
  <c r="N226"/>
  <c r="O226"/>
  <c r="P226"/>
  <c r="M226"/>
  <c r="N43"/>
  <c r="N42"/>
  <c r="N505"/>
  <c r="N40"/>
  <c r="N39"/>
  <c r="N45"/>
  <c r="N50"/>
  <c r="N125" l="1"/>
  <c r="N119" s="1"/>
  <c r="D522" l="1"/>
  <c r="D440" l="1"/>
  <c r="D422"/>
  <c r="D148"/>
  <c r="E338"/>
  <c r="S248"/>
  <c r="R248"/>
  <c r="H138" l="1"/>
  <c r="H160" l="1"/>
  <c r="I160" s="1"/>
  <c r="H134"/>
  <c r="H140"/>
  <c r="I140" s="1"/>
  <c r="H155"/>
  <c r="H154"/>
  <c r="H151"/>
  <c r="H148"/>
  <c r="H158"/>
  <c r="I158" s="1"/>
  <c r="H145"/>
  <c r="I145" s="1"/>
  <c r="I121"/>
  <c r="I170"/>
  <c r="I168"/>
  <c r="I155"/>
  <c r="I154"/>
  <c r="I151"/>
  <c r="I148"/>
  <c r="I138"/>
  <c r="I134"/>
  <c r="I249"/>
  <c r="H162"/>
  <c r="I162" s="1"/>
  <c r="H164"/>
  <c r="I164" s="1"/>
  <c r="H166"/>
  <c r="I166" s="1"/>
  <c r="D459" l="1"/>
  <c r="D457"/>
  <c r="E457" s="1"/>
  <c r="D458"/>
  <c r="D451"/>
  <c r="E451" s="1"/>
  <c r="D452"/>
  <c r="D446"/>
  <c r="D439"/>
  <c r="D441"/>
  <c r="D433"/>
  <c r="D434"/>
  <c r="D429"/>
  <c r="D427"/>
  <c r="D428"/>
  <c r="D421"/>
  <c r="E421" s="1"/>
  <c r="D423"/>
  <c r="D416"/>
  <c r="E416" s="1"/>
  <c r="D417"/>
  <c r="E417" s="1"/>
  <c r="D409"/>
  <c r="E409" s="1"/>
  <c r="D410"/>
  <c r="D403"/>
  <c r="E403" s="1"/>
  <c r="D404"/>
  <c r="D405"/>
  <c r="E405" s="1"/>
  <c r="D399"/>
  <c r="D397"/>
  <c r="E397" s="1"/>
  <c r="D391"/>
  <c r="D398"/>
  <c r="E398" s="1"/>
  <c r="D392"/>
  <c r="D393"/>
  <c r="E393" s="1"/>
  <c r="E458"/>
  <c r="E459"/>
  <c r="E452"/>
  <c r="E446"/>
  <c r="E440"/>
  <c r="E441"/>
  <c r="E439"/>
  <c r="E434"/>
  <c r="E433"/>
  <c r="E428"/>
  <c r="E429"/>
  <c r="E427"/>
  <c r="E422"/>
  <c r="E423"/>
  <c r="E410"/>
  <c r="E404"/>
  <c r="E399"/>
  <c r="E392"/>
  <c r="E391"/>
  <c r="E468"/>
  <c r="E466" s="1"/>
  <c r="G468"/>
  <c r="D468"/>
  <c r="G491"/>
  <c r="D491"/>
  <c r="D460"/>
  <c r="E460" s="1"/>
  <c r="D448"/>
  <c r="E448" s="1"/>
  <c r="D445"/>
  <c r="E445" s="1"/>
  <c r="D447"/>
  <c r="E447" s="1"/>
  <c r="D442"/>
  <c r="E442" s="1"/>
  <c r="D454"/>
  <c r="E454" s="1"/>
  <c r="D453"/>
  <c r="E453" s="1"/>
  <c r="D436"/>
  <c r="E436" s="1"/>
  <c r="D435"/>
  <c r="E435" s="1"/>
  <c r="D430"/>
  <c r="E430" s="1"/>
  <c r="D424"/>
  <c r="E424" s="1"/>
  <c r="D418"/>
  <c r="E418" s="1"/>
  <c r="D415"/>
  <c r="E415" s="1"/>
  <c r="D412"/>
  <c r="E412" s="1"/>
  <c r="D411"/>
  <c r="E411" s="1"/>
  <c r="D406"/>
  <c r="E406" s="1"/>
  <c r="D400"/>
  <c r="E400" s="1"/>
  <c r="D394"/>
  <c r="E394" s="1"/>
  <c r="G466" l="1"/>
  <c r="D466"/>
  <c r="D291"/>
  <c r="G119" l="1"/>
  <c r="F119"/>
  <c r="D119"/>
  <c r="D170"/>
  <c r="D304" l="1"/>
  <c r="D283"/>
  <c r="D285"/>
  <c r="F290"/>
  <c r="D290"/>
  <c r="F220"/>
  <c r="D220"/>
  <c r="D230"/>
  <c r="F223"/>
  <c r="D223"/>
  <c r="D86"/>
  <c r="D249"/>
  <c r="D168"/>
  <c r="D158"/>
  <c r="D154"/>
  <c r="D151"/>
  <c r="D155"/>
  <c r="F148"/>
  <c r="F140"/>
  <c r="D140"/>
  <c r="D138"/>
  <c r="D145"/>
  <c r="G134"/>
  <c r="D134"/>
  <c r="D164"/>
  <c r="D166"/>
  <c r="D162"/>
  <c r="G275" l="1"/>
  <c r="E230"/>
  <c r="E229"/>
  <c r="E223"/>
  <c r="E166"/>
  <c r="E298" l="1"/>
  <c r="E299"/>
  <c r="E300"/>
  <c r="E292"/>
  <c r="E301"/>
  <c r="E302"/>
  <c r="E303"/>
  <c r="E305"/>
  <c r="E306"/>
  <c r="E307"/>
  <c r="E308"/>
  <c r="E310"/>
  <c r="E311"/>
  <c r="E312"/>
  <c r="E313"/>
  <c r="E314"/>
  <c r="E315"/>
  <c r="E316"/>
  <c r="E318"/>
  <c r="E319"/>
  <c r="E320"/>
  <c r="E321"/>
  <c r="E323"/>
  <c r="E324"/>
  <c r="E326"/>
  <c r="E327"/>
  <c r="E328"/>
  <c r="E329"/>
  <c r="E330"/>
  <c r="E331"/>
  <c r="E332"/>
  <c r="E333"/>
  <c r="E297"/>
  <c r="E293"/>
  <c r="E290"/>
  <c r="E288"/>
  <c r="E285"/>
  <c r="E283"/>
  <c r="E267"/>
  <c r="E266"/>
  <c r="E257"/>
  <c r="E256"/>
  <c r="E255"/>
  <c r="E253"/>
  <c r="E252"/>
  <c r="E249"/>
  <c r="E220"/>
  <c r="E218"/>
  <c r="E215"/>
  <c r="E213"/>
  <c r="E212"/>
  <c r="E211"/>
  <c r="E210"/>
  <c r="E209"/>
  <c r="E208"/>
  <c r="E207"/>
  <c r="E206"/>
  <c r="E205"/>
  <c r="E203"/>
  <c r="E202"/>
  <c r="E198"/>
  <c r="E197"/>
  <c r="E195"/>
  <c r="E194"/>
  <c r="E192"/>
  <c r="F170"/>
  <c r="E171"/>
  <c r="E174"/>
  <c r="E172"/>
  <c r="E164"/>
  <c r="E162"/>
  <c r="E160"/>
  <c r="E158"/>
  <c r="E155"/>
  <c r="E154"/>
  <c r="E151"/>
  <c r="E148"/>
  <c r="E145"/>
  <c r="E144"/>
  <c r="E143"/>
  <c r="E138"/>
  <c r="E127"/>
  <c r="E128"/>
  <c r="E129"/>
  <c r="E130"/>
  <c r="E131"/>
  <c r="E132"/>
  <c r="E133"/>
  <c r="E173"/>
  <c r="E126"/>
  <c r="E123"/>
  <c r="E291" l="1"/>
  <c r="E119"/>
  <c r="E90"/>
  <c r="E91"/>
  <c r="E92"/>
  <c r="E93"/>
  <c r="E94"/>
  <c r="E95"/>
  <c r="E96"/>
  <c r="E97"/>
  <c r="E98"/>
  <c r="E99"/>
  <c r="E100"/>
  <c r="E101"/>
  <c r="E89"/>
  <c r="E86"/>
  <c r="E84"/>
  <c r="E85"/>
  <c r="E83"/>
  <c r="E76"/>
  <c r="E77"/>
  <c r="E75"/>
  <c r="E70"/>
  <c r="E71"/>
  <c r="E72"/>
  <c r="E69"/>
  <c r="E65"/>
  <c r="E62"/>
  <c r="E59"/>
  <c r="E58"/>
  <c r="E55"/>
  <c r="E56"/>
  <c r="E57"/>
  <c r="E54"/>
  <c r="E51"/>
  <c r="E34"/>
  <c r="E31"/>
  <c r="E30"/>
  <c r="D28"/>
  <c r="E28" s="1"/>
  <c r="F369" l="1"/>
  <c r="G369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E461"/>
  <c r="F461"/>
  <c r="G461"/>
  <c r="D461"/>
  <c r="D296" l="1"/>
  <c r="F291"/>
  <c r="G291"/>
  <c r="D294" l="1"/>
  <c r="E304"/>
  <c r="E268"/>
  <c r="F268"/>
  <c r="G268"/>
  <c r="D268"/>
  <c r="D264"/>
  <c r="E134" l="1"/>
  <c r="E140"/>
  <c r="E170"/>
  <c r="E168"/>
  <c r="L279" l="1"/>
  <c r="L520" s="1"/>
  <c r="Q279"/>
  <c r="Q520" s="1"/>
  <c r="G496"/>
  <c r="F496"/>
  <c r="F494" s="1"/>
  <c r="G494"/>
  <c r="U496"/>
  <c r="U494" s="1"/>
  <c r="T496"/>
  <c r="T494" s="1"/>
  <c r="S496"/>
  <c r="S494" s="1"/>
  <c r="R496"/>
  <c r="R494" s="1"/>
  <c r="P496"/>
  <c r="P494" s="1"/>
  <c r="O496"/>
  <c r="O494" s="1"/>
  <c r="N496"/>
  <c r="N494" s="1"/>
  <c r="M496"/>
  <c r="M494" s="1"/>
  <c r="H496"/>
  <c r="H494" s="1"/>
  <c r="D496"/>
  <c r="D494" s="1"/>
  <c r="E505"/>
  <c r="E499"/>
  <c r="E500"/>
  <c r="E501"/>
  <c r="E502"/>
  <c r="E503"/>
  <c r="E504"/>
  <c r="E498"/>
  <c r="E496" l="1"/>
  <c r="E494" s="1"/>
  <c r="E359"/>
  <c r="E360"/>
  <c r="E361"/>
  <c r="E362"/>
  <c r="E363"/>
  <c r="E365"/>
  <c r="E366"/>
  <c r="E358"/>
  <c r="E339" l="1"/>
  <c r="D339"/>
  <c r="S258" l="1"/>
  <c r="S246" s="1"/>
  <c r="R258"/>
  <c r="R246" s="1"/>
  <c r="P258"/>
  <c r="P246" s="1"/>
  <c r="O258"/>
  <c r="O246" s="1"/>
  <c r="N258"/>
  <c r="N246" s="1"/>
  <c r="M258"/>
  <c r="M246" s="1"/>
  <c r="G258"/>
  <c r="F258"/>
  <c r="E258"/>
  <c r="D258"/>
  <c r="G254"/>
  <c r="F254"/>
  <c r="E254"/>
  <c r="D254"/>
  <c r="E73" l="1"/>
  <c r="F73"/>
  <c r="G73"/>
  <c r="H73"/>
  <c r="I73"/>
  <c r="J73"/>
  <c r="K73"/>
  <c r="L73"/>
  <c r="M73"/>
  <c r="N73"/>
  <c r="O73"/>
  <c r="P73"/>
  <c r="Q73"/>
  <c r="R73"/>
  <c r="S73"/>
  <c r="T73"/>
  <c r="U73"/>
  <c r="D73"/>
  <c r="E67"/>
  <c r="F67"/>
  <c r="G67"/>
  <c r="H67"/>
  <c r="I67"/>
  <c r="J67"/>
  <c r="K67"/>
  <c r="L67"/>
  <c r="M67"/>
  <c r="N67"/>
  <c r="O67"/>
  <c r="P67"/>
  <c r="Q67"/>
  <c r="R67"/>
  <c r="S67"/>
  <c r="T67"/>
  <c r="U67"/>
  <c r="D67"/>
  <c r="E63"/>
  <c r="F63"/>
  <c r="G63"/>
  <c r="H63"/>
  <c r="I63"/>
  <c r="J63"/>
  <c r="K63"/>
  <c r="L63"/>
  <c r="M63"/>
  <c r="N63"/>
  <c r="O63"/>
  <c r="P63"/>
  <c r="Q63"/>
  <c r="R63"/>
  <c r="S63"/>
  <c r="T63"/>
  <c r="U63"/>
  <c r="D63"/>
  <c r="U60"/>
  <c r="E60"/>
  <c r="F60"/>
  <c r="G60"/>
  <c r="H60"/>
  <c r="I60"/>
  <c r="J60"/>
  <c r="K60"/>
  <c r="L60"/>
  <c r="M60"/>
  <c r="N60"/>
  <c r="O60"/>
  <c r="P60"/>
  <c r="Q60"/>
  <c r="R60"/>
  <c r="S60"/>
  <c r="T60"/>
  <c r="D60"/>
  <c r="E32"/>
  <c r="E25" s="1"/>
  <c r="F32"/>
  <c r="F25" s="1"/>
  <c r="G32"/>
  <c r="G25" s="1"/>
  <c r="D32"/>
  <c r="D25" s="1"/>
  <c r="E386"/>
  <c r="E369" s="1"/>
  <c r="J268" l="1"/>
  <c r="K268"/>
  <c r="L268"/>
  <c r="M268"/>
  <c r="N268"/>
  <c r="O268"/>
  <c r="P268"/>
  <c r="Q268"/>
  <c r="R268"/>
  <c r="S268"/>
  <c r="T268"/>
  <c r="U268"/>
  <c r="I268"/>
  <c r="H268"/>
  <c r="E274" l="1"/>
  <c r="F336" l="1"/>
  <c r="G336"/>
  <c r="N34" l="1"/>
  <c r="N53"/>
  <c r="D177" l="1"/>
  <c r="E177"/>
  <c r="O32" l="1"/>
  <c r="M32"/>
  <c r="G325" l="1"/>
  <c r="T226" l="1"/>
  <c r="D325" l="1"/>
  <c r="E325" s="1"/>
  <c r="D322" l="1"/>
  <c r="E322" s="1"/>
  <c r="D317"/>
  <c r="E317" s="1"/>
  <c r="D309"/>
  <c r="E309" s="1"/>
  <c r="E234"/>
  <c r="D234"/>
  <c r="M468"/>
  <c r="D216"/>
  <c r="D190" s="1"/>
  <c r="F216"/>
  <c r="F190" s="1"/>
  <c r="G216"/>
  <c r="G190" s="1"/>
  <c r="M216"/>
  <c r="M190" s="1"/>
  <c r="N216"/>
  <c r="O216"/>
  <c r="O190" s="1"/>
  <c r="P216"/>
  <c r="E216"/>
  <c r="E190" s="1"/>
  <c r="E281"/>
  <c r="D336"/>
  <c r="O25"/>
  <c r="O23" s="1"/>
  <c r="M25"/>
  <c r="M23" s="1"/>
  <c r="S226"/>
  <c r="R226"/>
  <c r="F274"/>
  <c r="G274"/>
  <c r="N117"/>
  <c r="O117"/>
  <c r="P117"/>
  <c r="M117"/>
  <c r="I119"/>
  <c r="I117" s="1"/>
  <c r="J119"/>
  <c r="J117" s="1"/>
  <c r="K119"/>
  <c r="K117" s="1"/>
  <c r="H119"/>
  <c r="H117" s="1"/>
  <c r="F117"/>
  <c r="G117"/>
  <c r="D117"/>
  <c r="N369"/>
  <c r="O369"/>
  <c r="P369"/>
  <c r="M369"/>
  <c r="D369"/>
  <c r="D356"/>
  <c r="D354" s="1"/>
  <c r="F296"/>
  <c r="F294" s="1"/>
  <c r="G296"/>
  <c r="G294" s="1"/>
  <c r="D274"/>
  <c r="O468"/>
  <c r="N468"/>
  <c r="D345"/>
  <c r="D343" s="1"/>
  <c r="G281"/>
  <c r="D389"/>
  <c r="E221"/>
  <c r="E78"/>
  <c r="E226"/>
  <c r="G510"/>
  <c r="F510"/>
  <c r="D510"/>
  <c r="D395"/>
  <c r="P356"/>
  <c r="P354" s="1"/>
  <c r="N356"/>
  <c r="N354" s="1"/>
  <c r="M356"/>
  <c r="M354" s="1"/>
  <c r="D248"/>
  <c r="D246" s="1"/>
  <c r="U226"/>
  <c r="S190"/>
  <c r="T190"/>
  <c r="U190"/>
  <c r="R190"/>
  <c r="E87"/>
  <c r="E356"/>
  <c r="E354" s="1"/>
  <c r="F356"/>
  <c r="F354" s="1"/>
  <c r="G356"/>
  <c r="G354" s="1"/>
  <c r="F281"/>
  <c r="G248"/>
  <c r="D455"/>
  <c r="D449"/>
  <c r="D437"/>
  <c r="E231"/>
  <c r="F231"/>
  <c r="G231"/>
  <c r="D231"/>
  <c r="E248"/>
  <c r="E246" s="1"/>
  <c r="S221"/>
  <c r="N221"/>
  <c r="U343"/>
  <c r="T343"/>
  <c r="S343"/>
  <c r="R343"/>
  <c r="P343"/>
  <c r="O343"/>
  <c r="N343"/>
  <c r="M343"/>
  <c r="K343"/>
  <c r="J343"/>
  <c r="I343"/>
  <c r="H343"/>
  <c r="G221"/>
  <c r="G78"/>
  <c r="F455"/>
  <c r="G455"/>
  <c r="F449"/>
  <c r="G449"/>
  <c r="F443"/>
  <c r="G443"/>
  <c r="F437"/>
  <c r="G437"/>
  <c r="F425"/>
  <c r="G425"/>
  <c r="F419"/>
  <c r="G419"/>
  <c r="F413"/>
  <c r="G413"/>
  <c r="F407"/>
  <c r="G407"/>
  <c r="F401"/>
  <c r="G401"/>
  <c r="F395"/>
  <c r="G395"/>
  <c r="F389"/>
  <c r="G389"/>
  <c r="D87"/>
  <c r="E345"/>
  <c r="E343" s="1"/>
  <c r="F345"/>
  <c r="F343" s="1"/>
  <c r="G345"/>
  <c r="G343" s="1"/>
  <c r="M221"/>
  <c r="O221"/>
  <c r="P221"/>
  <c r="E81"/>
  <c r="D78"/>
  <c r="F468"/>
  <c r="F466" s="1"/>
  <c r="G431"/>
  <c r="F78"/>
  <c r="F339"/>
  <c r="F334" s="1"/>
  <c r="G339"/>
  <c r="G334" s="1"/>
  <c r="H339"/>
  <c r="I339"/>
  <c r="J339"/>
  <c r="K339"/>
  <c r="L339"/>
  <c r="M339"/>
  <c r="N339"/>
  <c r="O339"/>
  <c r="P339"/>
  <c r="Q339"/>
  <c r="R339"/>
  <c r="S339"/>
  <c r="T339"/>
  <c r="U339"/>
  <c r="G226"/>
  <c r="F226"/>
  <c r="D226"/>
  <c r="Q468"/>
  <c r="R468"/>
  <c r="R466" s="1"/>
  <c r="R461" s="1"/>
  <c r="S468"/>
  <c r="S466" s="1"/>
  <c r="S461" s="1"/>
  <c r="T468"/>
  <c r="T466" s="1"/>
  <c r="T461" s="1"/>
  <c r="U468"/>
  <c r="U466" s="1"/>
  <c r="U461" s="1"/>
  <c r="H190"/>
  <c r="I190"/>
  <c r="J190"/>
  <c r="K190"/>
  <c r="P32"/>
  <c r="S78"/>
  <c r="T78"/>
  <c r="U78"/>
  <c r="R78"/>
  <c r="N78"/>
  <c r="O78"/>
  <c r="P78"/>
  <c r="M78"/>
  <c r="I78"/>
  <c r="J78"/>
  <c r="K78"/>
  <c r="H78"/>
  <c r="I291"/>
  <c r="J291"/>
  <c r="K291"/>
  <c r="L291"/>
  <c r="M291"/>
  <c r="N291"/>
  <c r="O291"/>
  <c r="P291"/>
  <c r="Q291"/>
  <c r="R291"/>
  <c r="S291"/>
  <c r="T291"/>
  <c r="U291"/>
  <c r="H468"/>
  <c r="H466" s="1"/>
  <c r="H461" s="1"/>
  <c r="I468"/>
  <c r="I466" s="1"/>
  <c r="I461" s="1"/>
  <c r="J468"/>
  <c r="J466" s="1"/>
  <c r="J461" s="1"/>
  <c r="K468"/>
  <c r="K466" s="1"/>
  <c r="K461" s="1"/>
  <c r="H369"/>
  <c r="I369"/>
  <c r="J369"/>
  <c r="K369"/>
  <c r="R369"/>
  <c r="S369"/>
  <c r="T369"/>
  <c r="U369"/>
  <c r="M437"/>
  <c r="N437"/>
  <c r="O437"/>
  <c r="P437"/>
  <c r="T221"/>
  <c r="U221"/>
  <c r="R221"/>
  <c r="T117"/>
  <c r="U117"/>
  <c r="O356"/>
  <c r="O354" s="1"/>
  <c r="F431"/>
  <c r="F248"/>
  <c r="F246" s="1"/>
  <c r="H281"/>
  <c r="I281"/>
  <c r="J281"/>
  <c r="K281"/>
  <c r="M281"/>
  <c r="N281"/>
  <c r="O281"/>
  <c r="P281"/>
  <c r="R281"/>
  <c r="S281"/>
  <c r="T281"/>
  <c r="U281"/>
  <c r="P190"/>
  <c r="U455"/>
  <c r="T455"/>
  <c r="S455"/>
  <c r="R455"/>
  <c r="U449"/>
  <c r="T449"/>
  <c r="S449"/>
  <c r="R449"/>
  <c r="U443"/>
  <c r="T443"/>
  <c r="S443"/>
  <c r="R443"/>
  <c r="U437"/>
  <c r="T437"/>
  <c r="S437"/>
  <c r="R437"/>
  <c r="U431"/>
  <c r="T431"/>
  <c r="S431"/>
  <c r="R431"/>
  <c r="U425"/>
  <c r="T425"/>
  <c r="S425"/>
  <c r="R425"/>
  <c r="U419"/>
  <c r="T419"/>
  <c r="S419"/>
  <c r="R419"/>
  <c r="U413"/>
  <c r="T413"/>
  <c r="S413"/>
  <c r="R413"/>
  <c r="U407"/>
  <c r="T407"/>
  <c r="S407"/>
  <c r="R407"/>
  <c r="U401"/>
  <c r="T401"/>
  <c r="S401"/>
  <c r="R401"/>
  <c r="U395"/>
  <c r="T395"/>
  <c r="S395"/>
  <c r="R395"/>
  <c r="U389"/>
  <c r="U387" s="1"/>
  <c r="T389"/>
  <c r="S389"/>
  <c r="R389"/>
  <c r="R387" s="1"/>
  <c r="U356"/>
  <c r="U354" s="1"/>
  <c r="T356"/>
  <c r="T354" s="1"/>
  <c r="S356"/>
  <c r="S354" s="1"/>
  <c r="R356"/>
  <c r="R354" s="1"/>
  <c r="U336"/>
  <c r="T336"/>
  <c r="S336"/>
  <c r="R336"/>
  <c r="U294"/>
  <c r="U279" s="1"/>
  <c r="T294"/>
  <c r="S294"/>
  <c r="R294"/>
  <c r="U248"/>
  <c r="U246" s="1"/>
  <c r="T248"/>
  <c r="T246" s="1"/>
  <c r="U119"/>
  <c r="T119"/>
  <c r="S119"/>
  <c r="R119"/>
  <c r="U81"/>
  <c r="T81"/>
  <c r="S81"/>
  <c r="R81"/>
  <c r="T25"/>
  <c r="U25"/>
  <c r="S25"/>
  <c r="S23" s="1"/>
  <c r="R25"/>
  <c r="R23" s="1"/>
  <c r="P455"/>
  <c r="O455"/>
  <c r="N455"/>
  <c r="M455"/>
  <c r="P449"/>
  <c r="O449"/>
  <c r="N449"/>
  <c r="M449"/>
  <c r="P443"/>
  <c r="O443"/>
  <c r="N443"/>
  <c r="M443"/>
  <c r="P431"/>
  <c r="O431"/>
  <c r="N431"/>
  <c r="M431"/>
  <c r="P425"/>
  <c r="O425"/>
  <c r="N425"/>
  <c r="M425"/>
  <c r="P419"/>
  <c r="O419"/>
  <c r="N419"/>
  <c r="M419"/>
  <c r="P413"/>
  <c r="O413"/>
  <c r="N413"/>
  <c r="M413"/>
  <c r="P407"/>
  <c r="O407"/>
  <c r="N407"/>
  <c r="M407"/>
  <c r="P401"/>
  <c r="O401"/>
  <c r="N401"/>
  <c r="M401"/>
  <c r="P395"/>
  <c r="O395"/>
  <c r="N395"/>
  <c r="M395"/>
  <c r="P389"/>
  <c r="O389"/>
  <c r="N389"/>
  <c r="M389"/>
  <c r="P336"/>
  <c r="O336"/>
  <c r="N336"/>
  <c r="M336"/>
  <c r="P294"/>
  <c r="P279" s="1"/>
  <c r="O294"/>
  <c r="O279" s="1"/>
  <c r="N294"/>
  <c r="N279" s="1"/>
  <c r="M294"/>
  <c r="M279" s="1"/>
  <c r="P81"/>
  <c r="O81"/>
  <c r="N81"/>
  <c r="M81"/>
  <c r="K496"/>
  <c r="K494" s="1"/>
  <c r="J496"/>
  <c r="J494" s="1"/>
  <c r="I496"/>
  <c r="I494" s="1"/>
  <c r="K455"/>
  <c r="J455"/>
  <c r="I455"/>
  <c r="H455"/>
  <c r="K449"/>
  <c r="J449"/>
  <c r="I449"/>
  <c r="H449"/>
  <c r="K443"/>
  <c r="J443"/>
  <c r="I443"/>
  <c r="H443"/>
  <c r="K437"/>
  <c r="J437"/>
  <c r="I437"/>
  <c r="H437"/>
  <c r="K431"/>
  <c r="J431"/>
  <c r="I431"/>
  <c r="H431"/>
  <c r="K425"/>
  <c r="J425"/>
  <c r="I425"/>
  <c r="H425"/>
  <c r="K419"/>
  <c r="J419"/>
  <c r="I419"/>
  <c r="H419"/>
  <c r="K413"/>
  <c r="J413"/>
  <c r="I413"/>
  <c r="H413"/>
  <c r="K407"/>
  <c r="J407"/>
  <c r="I407"/>
  <c r="H407"/>
  <c r="K401"/>
  <c r="J401"/>
  <c r="I401"/>
  <c r="H401"/>
  <c r="K395"/>
  <c r="J395"/>
  <c r="I395"/>
  <c r="H395"/>
  <c r="K389"/>
  <c r="K387" s="1"/>
  <c r="J389"/>
  <c r="I389"/>
  <c r="I387" s="1"/>
  <c r="H389"/>
  <c r="K356"/>
  <c r="K354" s="1"/>
  <c r="J356"/>
  <c r="J354" s="1"/>
  <c r="I356"/>
  <c r="I354" s="1"/>
  <c r="H356"/>
  <c r="H354" s="1"/>
  <c r="K336"/>
  <c r="J336"/>
  <c r="I336"/>
  <c r="H336"/>
  <c r="K294"/>
  <c r="K279" s="1"/>
  <c r="J294"/>
  <c r="I294"/>
  <c r="I279" s="1"/>
  <c r="H294"/>
  <c r="K248"/>
  <c r="K246" s="1"/>
  <c r="J248"/>
  <c r="J246" s="1"/>
  <c r="I248"/>
  <c r="I246" s="1"/>
  <c r="H248"/>
  <c r="H246" s="1"/>
  <c r="J221"/>
  <c r="I221"/>
  <c r="H221"/>
  <c r="K81"/>
  <c r="J81"/>
  <c r="I81"/>
  <c r="H81"/>
  <c r="K32"/>
  <c r="K25" s="1"/>
  <c r="J32"/>
  <c r="J25" s="1"/>
  <c r="I32"/>
  <c r="I25" s="1"/>
  <c r="H32"/>
  <c r="H25" s="1"/>
  <c r="F221"/>
  <c r="D221"/>
  <c r="G81"/>
  <c r="F81"/>
  <c r="D81"/>
  <c r="D407"/>
  <c r="D431"/>
  <c r="D443"/>
  <c r="D281"/>
  <c r="D413"/>
  <c r="D425"/>
  <c r="D419"/>
  <c r="E395"/>
  <c r="E449"/>
  <c r="E455"/>
  <c r="J387"/>
  <c r="E407"/>
  <c r="E510"/>
  <c r="R117"/>
  <c r="E443"/>
  <c r="P468"/>
  <c r="S117"/>
  <c r="D401"/>
  <c r="E437"/>
  <c r="D279" l="1"/>
  <c r="S279"/>
  <c r="H279"/>
  <c r="J279"/>
  <c r="P334"/>
  <c r="R279"/>
  <c r="T279"/>
  <c r="G246"/>
  <c r="G188"/>
  <c r="D188"/>
  <c r="E188"/>
  <c r="F188"/>
  <c r="G279"/>
  <c r="F279"/>
  <c r="D23"/>
  <c r="F23"/>
  <c r="G23"/>
  <c r="E23"/>
  <c r="P466"/>
  <c r="P461" s="1"/>
  <c r="N466"/>
  <c r="N461" s="1"/>
  <c r="O466"/>
  <c r="O461" s="1"/>
  <c r="M466"/>
  <c r="M461" s="1"/>
  <c r="H334"/>
  <c r="F387"/>
  <c r="F367" s="1"/>
  <c r="I334"/>
  <c r="S334"/>
  <c r="G387"/>
  <c r="G367" s="1"/>
  <c r="J367"/>
  <c r="M334"/>
  <c r="O334"/>
  <c r="M387"/>
  <c r="M367" s="1"/>
  <c r="O387"/>
  <c r="O367" s="1"/>
  <c r="R367"/>
  <c r="H387"/>
  <c r="H367" s="1"/>
  <c r="P387"/>
  <c r="P367" s="1"/>
  <c r="N387"/>
  <c r="N367" s="1"/>
  <c r="T188"/>
  <c r="O188"/>
  <c r="I367"/>
  <c r="K367"/>
  <c r="N334"/>
  <c r="U367"/>
  <c r="P25"/>
  <c r="P23" s="1"/>
  <c r="N32"/>
  <c r="N25" s="1"/>
  <c r="N23" s="1"/>
  <c r="D334"/>
  <c r="K188"/>
  <c r="T334"/>
  <c r="H23"/>
  <c r="I188"/>
  <c r="J334"/>
  <c r="T23"/>
  <c r="R334"/>
  <c r="U23"/>
  <c r="U334"/>
  <c r="K334"/>
  <c r="R188"/>
  <c r="J188"/>
  <c r="K23"/>
  <c r="E296"/>
  <c r="E294" s="1"/>
  <c r="E279" s="1"/>
  <c r="E419"/>
  <c r="E117"/>
  <c r="E389"/>
  <c r="E401"/>
  <c r="E413"/>
  <c r="E425"/>
  <c r="E336"/>
  <c r="E334" s="1"/>
  <c r="M188"/>
  <c r="N190"/>
  <c r="N188" s="1"/>
  <c r="U188"/>
  <c r="S188"/>
  <c r="P188"/>
  <c r="I23"/>
  <c r="E431"/>
  <c r="J23"/>
  <c r="T387"/>
  <c r="T367" s="1"/>
  <c r="H188"/>
  <c r="D387"/>
  <c r="D367" s="1"/>
  <c r="S387"/>
  <c r="S367" s="1"/>
  <c r="J520" l="1"/>
  <c r="I520"/>
  <c r="K520"/>
  <c r="H520"/>
  <c r="R520"/>
  <c r="T520"/>
  <c r="S520"/>
  <c r="P520"/>
  <c r="U520"/>
  <c r="O520"/>
  <c r="F520"/>
  <c r="N520"/>
  <c r="M520"/>
  <c r="G520"/>
  <c r="D520"/>
  <c r="E387"/>
  <c r="E367" s="1"/>
  <c r="E520" s="1"/>
  <c r="D524" l="1"/>
</calcChain>
</file>

<file path=xl/sharedStrings.xml><?xml version="1.0" encoding="utf-8"?>
<sst xmlns="http://schemas.openxmlformats.org/spreadsheetml/2006/main" count="1264" uniqueCount="739">
  <si>
    <t>Eil. Nr.</t>
  </si>
  <si>
    <t>1.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</si>
  <si>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</si>
  <si>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</si>
  <si>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</si>
  <si>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</si>
  <si>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</si>
  <si>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</si>
  <si>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</si>
  <si>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</si>
  <si>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iš jų:</t>
  </si>
  <si>
    <t>2.1.</t>
  </si>
  <si>
    <t>1.1.8.</t>
  </si>
  <si>
    <t>12.1.2.</t>
  </si>
  <si>
    <t>Aplinkos apsaugos rėmimo specialioji programa</t>
  </si>
  <si>
    <t>12.1.1.</t>
  </si>
  <si>
    <t xml:space="preserve">       Iš jų:</t>
  </si>
  <si>
    <t>12.1.</t>
  </si>
  <si>
    <t xml:space="preserve">       Iš jų pagal asignavimų valdytojus:</t>
  </si>
  <si>
    <t>12.</t>
  </si>
  <si>
    <t>11.1.1.</t>
  </si>
  <si>
    <t>11.1.</t>
  </si>
  <si>
    <t>11.</t>
  </si>
  <si>
    <t>Komunalinio ūkio objektų priežiūros finansavimas</t>
  </si>
  <si>
    <t>10.13.2.</t>
  </si>
  <si>
    <t>Aplinkos apsaugos priemonių finansavimas</t>
  </si>
  <si>
    <t>10.13.1.</t>
  </si>
  <si>
    <t xml:space="preserve">     iš jų:</t>
  </si>
  <si>
    <t>Viduklės seniūnija - iš viso</t>
  </si>
  <si>
    <t>10.13.</t>
  </si>
  <si>
    <t>10.12.2.</t>
  </si>
  <si>
    <t>10.12.1.</t>
  </si>
  <si>
    <t>Šiluvos seniūnija - iš viso</t>
  </si>
  <si>
    <t>10.12.</t>
  </si>
  <si>
    <t>10.11.2.</t>
  </si>
  <si>
    <t>10.11.1.</t>
  </si>
  <si>
    <t>Raseinių seniūnija -iš viso</t>
  </si>
  <si>
    <t>10.11.</t>
  </si>
  <si>
    <t>10.10.2.</t>
  </si>
  <si>
    <t>10.10.1.</t>
  </si>
  <si>
    <t>Raseinių miesto seniūnija - iš viso</t>
  </si>
  <si>
    <t>10.10.</t>
  </si>
  <si>
    <t>10.9.2.</t>
  </si>
  <si>
    <t>10.9.1.</t>
  </si>
  <si>
    <t>Paliepių seniūnija - iš viso</t>
  </si>
  <si>
    <t>10.9.</t>
  </si>
  <si>
    <t>10.8.2.</t>
  </si>
  <si>
    <t>10.8.1.</t>
  </si>
  <si>
    <t>Pagojukų seniūnija - iš viso</t>
  </si>
  <si>
    <t>10.8.</t>
  </si>
  <si>
    <t>10.7.2.</t>
  </si>
  <si>
    <t>10.7.1.</t>
  </si>
  <si>
    <t>Nemakščių seniūnija - iš viso</t>
  </si>
  <si>
    <t>10.7.</t>
  </si>
  <si>
    <t>10.6.2.</t>
  </si>
  <si>
    <t>10.6.1.</t>
  </si>
  <si>
    <t>Kalnujų seniūnija - iš viso</t>
  </si>
  <si>
    <t>10.6.</t>
  </si>
  <si>
    <t>10.5.2.</t>
  </si>
  <si>
    <t>10.5.1.</t>
  </si>
  <si>
    <t>Girkalnio seniūnija - iš viso</t>
  </si>
  <si>
    <t>10.5.</t>
  </si>
  <si>
    <t>10.4.2.</t>
  </si>
  <si>
    <t>10.4.1.</t>
  </si>
  <si>
    <t>Betygalos seniūnija-  iš viso</t>
  </si>
  <si>
    <t>10.4.</t>
  </si>
  <si>
    <t>10.3.2.</t>
  </si>
  <si>
    <t>10.3.1.</t>
  </si>
  <si>
    <t>Ariogalos seniūnija - iš viso</t>
  </si>
  <si>
    <t>10.3.</t>
  </si>
  <si>
    <t>10.2.2.</t>
  </si>
  <si>
    <t>10.2.1.</t>
  </si>
  <si>
    <t>Ariogalos miesto seniūnija - iš viso</t>
  </si>
  <si>
    <t>10.2.</t>
  </si>
  <si>
    <t>10.1.12.</t>
  </si>
  <si>
    <t>10.1.8.</t>
  </si>
  <si>
    <t>10.1.7.</t>
  </si>
  <si>
    <t>10.1.6.</t>
  </si>
  <si>
    <t>10.1.5.</t>
  </si>
  <si>
    <t>Savivaldybės nereikalingo nekilnojamojo turto likvidavimas ir teritorijų sutvarkymas</t>
  </si>
  <si>
    <t>Komunalinių atliekų tvarkymas</t>
  </si>
  <si>
    <t>10.1.2.</t>
  </si>
  <si>
    <t>10.1.</t>
  </si>
  <si>
    <t>10.</t>
  </si>
  <si>
    <t>9.1.2.</t>
  </si>
  <si>
    <t>9.1.1.</t>
  </si>
  <si>
    <t>9.1.</t>
  </si>
  <si>
    <t>9.</t>
  </si>
  <si>
    <t>8.1.2.</t>
  </si>
  <si>
    <t>04</t>
  </si>
  <si>
    <t>8.1.</t>
  </si>
  <si>
    <t>08</t>
  </si>
  <si>
    <t>8.</t>
  </si>
  <si>
    <t xml:space="preserve"> Smulkaus ir vidutinio verslo skatinimas</t>
  </si>
  <si>
    <t>07</t>
  </si>
  <si>
    <t>Kultūros vertybių apsaugos priemonių finansavimas</t>
  </si>
  <si>
    <t>6.1.1.</t>
  </si>
  <si>
    <t>6.1.</t>
  </si>
  <si>
    <t>6.</t>
  </si>
  <si>
    <t>Raseinių krašto istorijos muziejus</t>
  </si>
  <si>
    <t>Raseinių rajono kultūros centras</t>
  </si>
  <si>
    <t>Rajono kultūros įstaigų efektyvios veiklos užtikrinimas - iš viso</t>
  </si>
  <si>
    <t>Viduklės seniūnija</t>
  </si>
  <si>
    <t>Šiluvos seniūnija</t>
  </si>
  <si>
    <t>Raseinių seniūnija</t>
  </si>
  <si>
    <t>Raseinių miesto seniūnija</t>
  </si>
  <si>
    <t>Paliepių seniūnija</t>
  </si>
  <si>
    <t>Pagojukų seniūnija</t>
  </si>
  <si>
    <t>Nemakščių seniūnija</t>
  </si>
  <si>
    <t>Kalnujų seniūnija</t>
  </si>
  <si>
    <t>Girkalnio seniūnija</t>
  </si>
  <si>
    <t>5.9.</t>
  </si>
  <si>
    <t>Betygalos seniūnija</t>
  </si>
  <si>
    <t>5.8.</t>
  </si>
  <si>
    <t>Ariogalos seniūnija</t>
  </si>
  <si>
    <t>Ariogalos miesto seniūnija</t>
  </si>
  <si>
    <t>5.6.</t>
  </si>
  <si>
    <t xml:space="preserve">     Iš jų pagal asignavimų valdytojus:</t>
  </si>
  <si>
    <t>5.3.</t>
  </si>
  <si>
    <t>5.2.</t>
  </si>
  <si>
    <t>5.1.</t>
  </si>
  <si>
    <t xml:space="preserve"> Kultūros renginiai - iš viso</t>
  </si>
  <si>
    <t xml:space="preserve">             Iš jų:</t>
  </si>
  <si>
    <t>5.</t>
  </si>
  <si>
    <t>Raseinių kūno kultūros ir sporto centras - iš viso</t>
  </si>
  <si>
    <t>4.1.</t>
  </si>
  <si>
    <t xml:space="preserve">        Iš jų:</t>
  </si>
  <si>
    <t>4.</t>
  </si>
  <si>
    <t xml:space="preserve">        iš jų:</t>
  </si>
  <si>
    <t>3.4.</t>
  </si>
  <si>
    <t xml:space="preserve">         Iš jų:</t>
  </si>
  <si>
    <t>3.2.</t>
  </si>
  <si>
    <t>3.1.10.</t>
  </si>
  <si>
    <t>3.1.9.</t>
  </si>
  <si>
    <t>3.1.8.</t>
  </si>
  <si>
    <t>3.1.7.</t>
  </si>
  <si>
    <t>3.1.6.</t>
  </si>
  <si>
    <t>Vaikų dienos centrų veiklos rėmimas</t>
  </si>
  <si>
    <t>3.1.5.</t>
  </si>
  <si>
    <t>Nevyriausybinių organizacijų socialinių projektų rėmimas</t>
  </si>
  <si>
    <t>3.1.4.</t>
  </si>
  <si>
    <t>Kitos socialinės paramos mokėjimas</t>
  </si>
  <si>
    <t>3.1.3.</t>
  </si>
  <si>
    <t>3.1.1.</t>
  </si>
  <si>
    <t xml:space="preserve">          Iš jų:</t>
  </si>
  <si>
    <t>3.1.</t>
  </si>
  <si>
    <t xml:space="preserve">            Iš jų:</t>
  </si>
  <si>
    <t>3.</t>
  </si>
  <si>
    <t>Raseinių meno mokykla</t>
  </si>
  <si>
    <t xml:space="preserve">                             iš jų:</t>
  </si>
  <si>
    <t>Keleivių vežėjų nuostolių, susidariusių dėl  keleivių vežimo reguliariaisiais maršrutais, kompensavimas</t>
  </si>
  <si>
    <t>Kitų lengvatinio keleivių vežimo išlaidų kompensavimas</t>
  </si>
  <si>
    <t xml:space="preserve">              Iš jų:</t>
  </si>
  <si>
    <t>1.4.</t>
  </si>
  <si>
    <t>1.3.2.</t>
  </si>
  <si>
    <t>1.3.1.</t>
  </si>
  <si>
    <t>01</t>
  </si>
  <si>
    <t>1.3.</t>
  </si>
  <si>
    <t>VšĮ Kauno regiono plėtros agentūros veiklos dalinis finansavimas</t>
  </si>
  <si>
    <t>1.1.10.</t>
  </si>
  <si>
    <t>1.1.9.</t>
  </si>
  <si>
    <t>Raseinių rajono savivaldybės korupcijos prevencijos programos įgyvendinimas</t>
  </si>
  <si>
    <t>Savivaldybės veiklos viešinimas</t>
  </si>
  <si>
    <t>Nario mokestis Lietuvos savivaldybių asociacijai</t>
  </si>
  <si>
    <t>Nario mokestis Lietuvos savivaldybių seniūnų asociacijai</t>
  </si>
  <si>
    <t>Administracijos veiklos finansavimas - iš viso</t>
  </si>
  <si>
    <t xml:space="preserve">       iš jų:</t>
  </si>
  <si>
    <t>Rajono Savivaldybės administracija  - iš viso</t>
  </si>
  <si>
    <t>Turtui įsigyti</t>
  </si>
  <si>
    <t>iš jų: darbo užmokesčiui</t>
  </si>
  <si>
    <t>Išlaidoms</t>
  </si>
  <si>
    <t>Raseinių rajono savivaldybės tarybos</t>
  </si>
  <si>
    <t>Mero fondas</t>
  </si>
  <si>
    <t>1.1.2.1.</t>
  </si>
  <si>
    <t>Seniūnijų teritorijų tvarkymas ir komunalinio ūkio objektų priežiūra - iš viso</t>
  </si>
  <si>
    <t>05.</t>
  </si>
  <si>
    <t>Rajono Savivaldybės administracijos Biudžeto ir finansų analizės skyrius - iš viso</t>
  </si>
  <si>
    <t>Socialinės reabilitacijos paslaugų neįgaliesiems bendruomenėje finansavimas</t>
  </si>
  <si>
    <t>3.1.11.</t>
  </si>
  <si>
    <t>5.5.</t>
  </si>
  <si>
    <t>9.1.3.</t>
  </si>
  <si>
    <t>Socialinių pašalpų mokėjimas socialiai remtiniems asmenims</t>
  </si>
  <si>
    <t>Socialinių pašalpų mokėjimo administravimas</t>
  </si>
  <si>
    <t>3.1.12.</t>
  </si>
  <si>
    <t>3.1.13.</t>
  </si>
  <si>
    <t>3.1.15.</t>
  </si>
  <si>
    <t>3.1.16.</t>
  </si>
  <si>
    <t>Programa,  priemonė ir asignavimų valdytojas</t>
  </si>
  <si>
    <t>Programos "Noriu būti saugus" įgyvendinimas</t>
  </si>
  <si>
    <t>IŠ VISO:</t>
  </si>
  <si>
    <t>Valstybės funkcijų klasifikacijos kodas</t>
  </si>
  <si>
    <t>2.1.1.</t>
  </si>
  <si>
    <t>2.1.2.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</si>
  <si>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</si>
  <si>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</si>
  <si>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</si>
  <si>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</si>
  <si>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</si>
  <si>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</si>
  <si>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</si>
  <si>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</si>
  <si>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</si>
  <si>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</si>
  <si>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2.14.</t>
  </si>
  <si>
    <t>2.15.</t>
  </si>
  <si>
    <t>Raseinių lopšelis- darželis "Liepaitė"</t>
  </si>
  <si>
    <t>Raseinių lopšelis- darželis "Saulutė"</t>
  </si>
  <si>
    <t>Olimpiadų, konkursų organizavimas ir vykdymas</t>
  </si>
  <si>
    <t>4.1.1.</t>
  </si>
  <si>
    <t>Raseinių kūno kultūros ir sporto centro veiklos finansavimas</t>
  </si>
  <si>
    <t>4.1.2.</t>
  </si>
  <si>
    <t>Sporto klubų veiklos dalinis finansavimas</t>
  </si>
  <si>
    <t>3.3.</t>
  </si>
  <si>
    <t xml:space="preserve">                                                                                                                                     ___________________</t>
  </si>
  <si>
    <t>3.1.2.</t>
  </si>
  <si>
    <t>6.2.</t>
  </si>
  <si>
    <t>Raseinių krašto istorijos muziejus- iš viso</t>
  </si>
  <si>
    <t>6.2.1.</t>
  </si>
  <si>
    <t>8.1.3.</t>
  </si>
  <si>
    <t>Sodininkų bendrijų rėmimas</t>
  </si>
  <si>
    <t>2.</t>
  </si>
  <si>
    <t>Raseinių r. Ariogalos lopšelis- darželis</t>
  </si>
  <si>
    <t>Blinstrubiškių socialinės globos namai - iš viso</t>
  </si>
  <si>
    <t>Raseinių r. Nemakščių darželis</t>
  </si>
  <si>
    <t>Raseinių r. Viduklės darželis</t>
  </si>
  <si>
    <t>Savivaldybei reikalingo turto įsigijimas</t>
  </si>
  <si>
    <t>Savivaldybei priklausančių pastatų ir statinių eksploatacija ir remontas</t>
  </si>
  <si>
    <t>Stebėjimo kamerų įrengimas seniūnijose</t>
  </si>
  <si>
    <t xml:space="preserve">Raseinių r. Ariogalos gimnazija </t>
  </si>
  <si>
    <t xml:space="preserve">Prezidento Jono Žemaičio gimnazija  </t>
  </si>
  <si>
    <t>Iš viso SF*</t>
  </si>
  <si>
    <t>Iš viso:</t>
  </si>
  <si>
    <t>Iš viso SP*</t>
  </si>
  <si>
    <t>Socialinės paramos mokiniams administravimas</t>
  </si>
  <si>
    <t>Rajono Savivaldybės administracija</t>
  </si>
  <si>
    <t>Raseinių r.  Ariogalos gimnazija</t>
  </si>
  <si>
    <t>Raseinių r. Girkalnio pagrindinė mokykla</t>
  </si>
  <si>
    <t>Raseinių Viktoro Petkaus pagrindinė mokykla</t>
  </si>
  <si>
    <t>Raseinių specialioji mokykla</t>
  </si>
  <si>
    <t>Blinstrubiškių socialinės globos namai</t>
  </si>
  <si>
    <t>Laidojimo pašalpų mokėjimas</t>
  </si>
  <si>
    <t xml:space="preserve">Socialinė parama mokiniams už įsigytus maisto produktus </t>
  </si>
  <si>
    <t>Perduotai iš apskrities įstaigai išlaikyti</t>
  </si>
  <si>
    <t>Finansavimo šaltinio kodas</t>
  </si>
  <si>
    <t>Iš jų pagal asignavimų valdytojus:</t>
  </si>
  <si>
    <t xml:space="preserve">Raseinių rajono savivaldybės Kontrolės ir audito tarnyba </t>
  </si>
  <si>
    <t>4.2.</t>
  </si>
  <si>
    <t>9.1.4.</t>
  </si>
  <si>
    <t>Elektros linijų iškėlimas</t>
  </si>
  <si>
    <t>10.2.3.</t>
  </si>
  <si>
    <t>Gatvių ir kelių priežiūra ir smulkus remontas</t>
  </si>
  <si>
    <t>04.</t>
  </si>
  <si>
    <t xml:space="preserve">Gyventojų registro tvarkymas ir duomenų valstybės registrui teikimas </t>
  </si>
  <si>
    <t xml:space="preserve">Duomenų teikimas valstybės suteiktos pagalbos registrui </t>
  </si>
  <si>
    <t xml:space="preserve">Civilinės būklės aktų registravimas </t>
  </si>
  <si>
    <t xml:space="preserve">Valstybinės kalbos vartojimo ir taisyklingumo kontrolė </t>
  </si>
  <si>
    <t>Archyvinių dokumentų tvarkymas</t>
  </si>
  <si>
    <t xml:space="preserve">Pirminė teisinė pagalba </t>
  </si>
  <si>
    <t xml:space="preserve">Gyvenamosios vietos deklaravimas </t>
  </si>
  <si>
    <t xml:space="preserve">Civilinės saugos organizavimas </t>
  </si>
  <si>
    <t xml:space="preserve">Žemės ūkio funkcijų administravimas </t>
  </si>
  <si>
    <t>Raseinių r. Viduklės Simono Stanevičiaus gimnazija</t>
  </si>
  <si>
    <t>1.1.4.2.</t>
  </si>
  <si>
    <t>Administracijos veiklos finansavimas</t>
  </si>
  <si>
    <t>Paskolų grąžinimas, palūkanų ir paskolų aptarnavimo išlaidų apmokėjimas</t>
  </si>
  <si>
    <t>2.1.3.</t>
  </si>
  <si>
    <t>3.1.20.</t>
  </si>
  <si>
    <t>3.1.21.</t>
  </si>
  <si>
    <t>3.5.</t>
  </si>
  <si>
    <t>3.5.1.</t>
  </si>
  <si>
    <t>4.2.1.</t>
  </si>
  <si>
    <t>10.1.4.</t>
  </si>
  <si>
    <t>10.1.13.</t>
  </si>
  <si>
    <t>10.3.3.</t>
  </si>
  <si>
    <t>10.4.3.</t>
  </si>
  <si>
    <t>10.5.3.</t>
  </si>
  <si>
    <t>10.6.3.</t>
  </si>
  <si>
    <t>10.7.3.</t>
  </si>
  <si>
    <t>10.8.3.</t>
  </si>
  <si>
    <t>10.9.3.</t>
  </si>
  <si>
    <t>10.10.3.</t>
  </si>
  <si>
    <t>10.11.3.</t>
  </si>
  <si>
    <t>10.12.3.</t>
  </si>
  <si>
    <t>10.13.3.</t>
  </si>
  <si>
    <t>11.1.2.</t>
  </si>
  <si>
    <t>11.1.3.</t>
  </si>
  <si>
    <t>11.1.4.</t>
  </si>
  <si>
    <t>3  priedas</t>
  </si>
  <si>
    <t>1.1.4.3.</t>
  </si>
  <si>
    <t>1.1.4.4.</t>
  </si>
  <si>
    <t>1.1.4.5.</t>
  </si>
  <si>
    <t>1.1.4.6.</t>
  </si>
  <si>
    <t>1.1.4.7.</t>
  </si>
  <si>
    <t>1.1.4.8.</t>
  </si>
  <si>
    <t>1.1.4.9.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</si>
  <si>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</si>
  <si>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</si>
  <si>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</si>
  <si>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</si>
  <si>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</si>
  <si>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</si>
  <si>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</si>
  <si>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</si>
  <si>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 xml:space="preserve">Raseinių r. Viduklės Simono Stanevičiaus gimnazija </t>
  </si>
  <si>
    <t xml:space="preserve">Raseinių Viktoro Petkaus pagrindinė  mokykla </t>
  </si>
  <si>
    <t>06.</t>
  </si>
  <si>
    <t>SF-  Savivaldybės biudžeto asignavimai Savivaldybei pavestoms savarankiškosioms funkcijoms vykdyti</t>
  </si>
  <si>
    <t>SP-  Rajono Savivaldybės biudžeto lėšos, gautos už įstaigų teikiamas paslaugas</t>
  </si>
  <si>
    <t>11.1.6.</t>
  </si>
  <si>
    <t xml:space="preserve">Raseinių Marcelijaus Martinaičio viešoji biblioteka </t>
  </si>
  <si>
    <t>Raseinių  Šaltinio progimnazija</t>
  </si>
  <si>
    <t>Raseinių r. Nemakščių Martyno Mažvydo gimnazija</t>
  </si>
  <si>
    <t>Raseinių r. Šiluvos gimnazija</t>
  </si>
  <si>
    <t xml:space="preserve"> </t>
  </si>
  <si>
    <t>Raseinių r. Gylių  mokykla-daugiafunkcis centras</t>
  </si>
  <si>
    <t xml:space="preserve">Raseinių r. Ilgižių mokykla-daugiafunkcis centras </t>
  </si>
  <si>
    <t xml:space="preserve">Raseinių r. Žaiginio Pranciškaus Šivickio  mokykla - daugiafunkcis centras </t>
  </si>
  <si>
    <t xml:space="preserve">Raseinių rajono kultūros centras </t>
  </si>
  <si>
    <t>4.2.2.</t>
  </si>
  <si>
    <t>Sportininkų skatinimas</t>
  </si>
  <si>
    <t>Seniūnaičių veiklos finansavimas</t>
  </si>
  <si>
    <t>Būsto nuomos ar išperkamosios būsto nuomos mokesčių dalies kompensacijų mokėjimas</t>
  </si>
  <si>
    <t>Socialinio būsto plėtra ir remontas</t>
  </si>
  <si>
    <t>6.2.2.</t>
  </si>
  <si>
    <t>1.1.4.1.</t>
  </si>
  <si>
    <t>Daugiabučių namų bendrijų rėmimas</t>
  </si>
  <si>
    <t>3.1.14.</t>
  </si>
  <si>
    <t>3.1.17.</t>
  </si>
  <si>
    <t>3.1.18.</t>
  </si>
  <si>
    <t>3.1.19.</t>
  </si>
  <si>
    <t>10.1.9.</t>
  </si>
  <si>
    <t>Kredito, paimto daugiabučiam namui atnaujinti (modernizuoti), ir palūkanų apmokėjimas už asmenis, turinčius teisę į būsto šildymo išlaidų kompensaciją</t>
  </si>
  <si>
    <t>2.1.4.</t>
  </si>
  <si>
    <t>Vietinės reikšmės keliams (gatvėms) tiesti, taisyti, prižiūrėti ir saugaus eismo sąlygoms užtikrinti</t>
  </si>
  <si>
    <t xml:space="preserve">Raseinių rajono savivaldybės topografijos ir inžinerinės infrastruktūros planų tvarkymas </t>
  </si>
  <si>
    <t>10.9.4.</t>
  </si>
  <si>
    <t>Raseinių r. Betygalos Maironio gimnazija</t>
  </si>
  <si>
    <t>12.1.4.</t>
  </si>
  <si>
    <t>2.1.5.</t>
  </si>
  <si>
    <t>Neformaliojo vaikų švietimo programoms finansuoti</t>
  </si>
  <si>
    <t>3.4.1.</t>
  </si>
  <si>
    <t>3.4.2.</t>
  </si>
  <si>
    <t>3.4.3.</t>
  </si>
  <si>
    <t>Atliekų tvarkymo infrastruktūros plėtra</t>
  </si>
  <si>
    <t>05</t>
  </si>
  <si>
    <t>Priemonių, reikalingų aplinkos būklei stebėti, gerinti bei gamtinei aplinkai gausinti, įsigijimas</t>
  </si>
  <si>
    <t>06</t>
  </si>
  <si>
    <t>Kaimo bendruomenių, vietos veiklos grupių ir kitų su kaimo plėtra susijusių NVO projektų bendrasis finansavimas</t>
  </si>
  <si>
    <t>9.1.6.</t>
  </si>
  <si>
    <t>09</t>
  </si>
  <si>
    <t>4.2.3.</t>
  </si>
  <si>
    <t>4.2.4.</t>
  </si>
  <si>
    <t xml:space="preserve">Raseinių rajono savivaldybės teritorijų planavimo dokumentų rengimas </t>
  </si>
  <si>
    <t>8.1.5.</t>
  </si>
  <si>
    <t>5.2.1.</t>
  </si>
  <si>
    <t>10</t>
  </si>
  <si>
    <t>Administracinės naštos mažinimas</t>
  </si>
  <si>
    <t>03</t>
  </si>
  <si>
    <t>02</t>
  </si>
  <si>
    <t>Reprezentacinės išlaidos - iš viso</t>
  </si>
  <si>
    <t>Visuomenei naudingų darbų organizavimo išlaidos</t>
  </si>
  <si>
    <t>10.2.4.</t>
  </si>
  <si>
    <t>10.3.4.</t>
  </si>
  <si>
    <t>10.4.4.</t>
  </si>
  <si>
    <t>10.5.4.</t>
  </si>
  <si>
    <t>10.6.4.</t>
  </si>
  <si>
    <t>10.7.4.</t>
  </si>
  <si>
    <t>10.8.4.</t>
  </si>
  <si>
    <t>10.10.4.</t>
  </si>
  <si>
    <t>10.12.4.</t>
  </si>
  <si>
    <t>10.13.4.</t>
  </si>
  <si>
    <t xml:space="preserve">Laidojimo pašalpų administravimas </t>
  </si>
  <si>
    <t xml:space="preserve">  Iš jų pagal asignavimų valdytojus</t>
  </si>
  <si>
    <t xml:space="preserve"> iš jų pagal asignavimų valdytojus:</t>
  </si>
  <si>
    <t xml:space="preserve">Raseinių priešgaisrinė saugos tarnyba </t>
  </si>
  <si>
    <t xml:space="preserve">Suformuoti ar pertvarkyti ir įregistruoti valstybinės žemės sklypus savivaldybės esamiems ar numatomiems statiniams, susisiekimo komunikacijoms, aikštėms ir želdynams eksploatuoti, kultūros paveldo objektų užimamus žemės sklypus
</t>
  </si>
  <si>
    <t>Suformuoti žemės sklypus valstybinės žemės pardavimui ir nuomai</t>
  </si>
  <si>
    <t>12.1.5.</t>
  </si>
  <si>
    <t>Būsto ir gyvenamosios aplinkos pritaikymo neįgaliesiems įgyvendinimas</t>
  </si>
  <si>
    <t>Atvirą darbą su jaunimu dirbančių institucijų projektų finansavimas</t>
  </si>
  <si>
    <t>Neveiksnių asmenų būklės peržiūrėjimui užtikrinti</t>
  </si>
  <si>
    <t>2.1.6.</t>
  </si>
  <si>
    <t>Tarnybinių automobilių veiklos nuoma</t>
  </si>
  <si>
    <t>NVŠ - Neformaliajam vaikų švietimui finansuoti</t>
  </si>
  <si>
    <t>Iš viso VB*+ES*</t>
  </si>
  <si>
    <t>2017 m. vasario 23 d. sprendimo Nr.</t>
  </si>
  <si>
    <t>Raseinių rajono savivaldybės  visuomenės sveikatos biuras- iš viso</t>
  </si>
  <si>
    <t>ES - Europos Sąjungos finansinė parama</t>
  </si>
  <si>
    <t>Investicija į UAB "Raseinių komunalinės paslaugos" (turto įsigijimui)</t>
  </si>
  <si>
    <t>2.1.8.</t>
  </si>
  <si>
    <t>Bešeimininkių, beglobių gyvūnų priežiūra</t>
  </si>
  <si>
    <t>priimta Raseinių rajono savivaldybės tarybos</t>
  </si>
  <si>
    <t>Ariogalos miesto bendruomeninės infrastruktūros gerinimas</t>
  </si>
  <si>
    <t xml:space="preserve">Maironio tėviškės (sodybos-muziejaus) Bernotų k. infrastruktūros įrengimas </t>
  </si>
  <si>
    <t>Religinio turizmo Šiluvoje skatinimo programos parengimas ir finansavimas</t>
  </si>
  <si>
    <t xml:space="preserve">Asbesto turinčių gaminių atliekų surinkimas apvažiavimo būdu, transportavimas ir šalinimas                     </t>
  </si>
  <si>
    <t>Raseinių rajono švietimo pagalbos tarnyba - iš viso, iš jų</t>
  </si>
  <si>
    <t>Raseinių rajono gyventojų sveikatos stiprinimas, gerinant sveikatos priežiūros paslaugų prieinamumą.</t>
  </si>
  <si>
    <t>Paslaugų prieinamumo gerinimas tuberkulioze sergantiems asmenims Raseinių rajone</t>
  </si>
  <si>
    <t>Raseinių rajono  kultūros ir istorijos žurnalo "Rasupis" leidyba</t>
  </si>
  <si>
    <t>Dalyvavimas švento Jokūbo kelio savivaldybių asociacijos veikloje</t>
  </si>
  <si>
    <t>Raseinių socialinių paslaugų centro vykdomų paslaugų finansavimas-  iš viso, iš jų:</t>
  </si>
  <si>
    <t>1.6.</t>
  </si>
  <si>
    <t>1.2.</t>
  </si>
  <si>
    <t>1.2.1.</t>
  </si>
  <si>
    <t>1.7.</t>
  </si>
  <si>
    <t>1.8.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</si>
  <si>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</si>
  <si>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</si>
  <si>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</si>
  <si>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</si>
  <si>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</si>
  <si>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</si>
  <si>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</si>
  <si>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</si>
  <si>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</si>
  <si>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</si>
  <si>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11.1.16.</t>
  </si>
  <si>
    <t>11.1.18.</t>
  </si>
  <si>
    <t>11.1.24.</t>
  </si>
  <si>
    <t>11.1.26.</t>
  </si>
  <si>
    <t>11.1.27.</t>
  </si>
  <si>
    <t>Raseinių rajono savivaldybėje 2016-2019 m. kompleksiškai teikiamų paslaugų šeimai projektas</t>
  </si>
  <si>
    <t>Raseinių m. centrinės dalies patrauklumo didinimas (rekonstruojant Vilniaus g. ir modernizuojant vietos bendruomenei svarbias viešąsias erdves)</t>
  </si>
  <si>
    <t>1.1.4.18.</t>
  </si>
  <si>
    <t>Sveikatos projektų vykdymui: iš viso</t>
  </si>
  <si>
    <t>Raseinių socialinių paslaugų centras</t>
  </si>
  <si>
    <t>Raseinių rajono savivaldybės  visuomenės sveikatos biuras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</si>
  <si>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</si>
  <si>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</si>
  <si>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</si>
  <si>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</si>
  <si>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</si>
  <si>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</si>
  <si>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</si>
  <si>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</si>
  <si>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Jono Pauliaus II piligrimų kelio projekto įgyvendinimui (kryžių kelio įrengimui)</t>
  </si>
  <si>
    <t xml:space="preserve">Raseinių kūno kultūros ir sporto centras 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</si>
  <si>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</si>
  <si>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</si>
  <si>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</si>
  <si>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</si>
  <si>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</si>
  <si>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</si>
  <si>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</si>
  <si>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</si>
  <si>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</si>
  <si>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</si>
  <si>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</si>
  <si>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</si>
  <si>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</si>
  <si>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</si>
  <si>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</si>
  <si>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Ikimokyklinio ir priešmokyklinio ugdymo prieinamumo didinimas Raseinių rajone (Ariogalos lopšelyje-darželyje)</t>
  </si>
  <si>
    <t>Savivaldybės erdvinių duomenų rinkinio tvarkymui</t>
  </si>
  <si>
    <t>Atliekų, kurių turėtojo nustatyti neįmanoma arba kuris neegzistuoja, tvarkymas</t>
  </si>
  <si>
    <t>Asociacijos "Raseinių krepšinis" dalinis finansavimas</t>
  </si>
  <si>
    <t>Pakuočių atliekų surinkimo iš gyvenamųjų namų priemonių (konteinerių) įsigijimas</t>
  </si>
  <si>
    <t>Rajono Savivaldybės administracijos Vietinio ūkio ir turto valdymo skyrius - iš viso</t>
  </si>
  <si>
    <t>Rajono Savivaldybės administracijos Socialinės paramos skyrius - iš viso</t>
  </si>
  <si>
    <t xml:space="preserve"> Rajono Savivaldybės administracijos Vietinio  ūkio ir turto valdymo skyrius - iš viso</t>
  </si>
  <si>
    <t>Rajono Savivaldybės administracijos Architektūros ir teritorijų planavimo skyrius -  iš viso</t>
  </si>
  <si>
    <t>Rajono savivaldybės administracijos Žemės ūkio ir kaimo plėtros skyrius - iš viso</t>
  </si>
  <si>
    <t>10.1.1.</t>
  </si>
  <si>
    <t xml:space="preserve">Raseinių pagalbos šeimai namai </t>
  </si>
  <si>
    <t>Raseinių Marcelijaus Martinaičio viešoji biblioteka iš viso:</t>
  </si>
  <si>
    <t>(Eurais)</t>
  </si>
  <si>
    <t xml:space="preserve">Jaunimo teisių apsauga  </t>
  </si>
  <si>
    <t>Ilgalaikio turto įsigijimas finansinės nuomos (lizingo) būdu</t>
  </si>
  <si>
    <t>3.6.4.</t>
  </si>
  <si>
    <t>5.5.1.</t>
  </si>
  <si>
    <t>5.5.2.</t>
  </si>
  <si>
    <t>5.5.6.</t>
  </si>
  <si>
    <t>Kaimo bendruomenių, vietos veiklos grupių ir kitų su kaimo plėtra susijusių NVO veiklos rėmimas</t>
  </si>
  <si>
    <t>Hidrotechninių ir melioracijos statinių remontas</t>
  </si>
  <si>
    <t>12.1.9.</t>
  </si>
  <si>
    <t>12.1.10.</t>
  </si>
  <si>
    <t>Mokymo lėšoms ugdymo įstaigų finansavimui</t>
  </si>
  <si>
    <t>Mokymo lėšos VšĮ Raseinių lopšeliui-darželiui "Spinduliukas"</t>
  </si>
  <si>
    <t>VB-  Valstybės biudžeto specialioji tikslinė dotacija valstybinėms (perduotoms savivaldybėms) funkcijoms vykdyti, pagal teisės aktus Savivaldybei perduotoms įstaigoms išlaikyti ir  Valstybės investicijų 2019-2021 metų programoje numatytoms kapitalo investicijoms finansuoti</t>
  </si>
  <si>
    <t>Finansavimo šaltinis</t>
  </si>
  <si>
    <t>Projektinės dokumentacijos žemės paėmimo viduomenės poreikiams parengimas</t>
  </si>
  <si>
    <t>ES</t>
  </si>
  <si>
    <t>VB</t>
  </si>
  <si>
    <t>Plėtoti sveiką gyvenseną ir stiprinti mokinių sveikatos įgūdžius ugdymo įstaigose</t>
  </si>
  <si>
    <t>Stiprinti sveikos gyvensenos įgūdžius bendruonemėse ir vykdyti visuomenės sveikatos stebėseną savivaldybėse</t>
  </si>
  <si>
    <t>2.12.</t>
  </si>
  <si>
    <t>5.7.</t>
  </si>
  <si>
    <t>VšĮ Raseinių hipodromas  veiklos skatinimas (dalininkų įnašui)</t>
  </si>
  <si>
    <t>VšĮ "Atrask Raseinius" veiklos skatinimas</t>
  </si>
  <si>
    <t>10.11.4.</t>
  </si>
  <si>
    <t>Lietuvos partizanų memorialo Raseinių r.sav., Nemakščių sen., Kryžkalnio k. statyba ir teritorijos sutvarkymas ( I etapas)</t>
  </si>
  <si>
    <t>Rajono Savivaldybės visuomenės sveikatos rėmimo specialiosios programos vykdymas</t>
  </si>
  <si>
    <t>iš jų pagal asignavimų valdytojus: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</si>
  <si>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</si>
  <si>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</si>
  <si>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</si>
  <si>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</si>
  <si>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</si>
  <si>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</si>
  <si>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</si>
  <si>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</si>
  <si>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</si>
  <si>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Raseinių rajono jaunimo organizacijų ir neformalių grupių  projektų vykdymas</t>
  </si>
  <si>
    <t xml:space="preserve">  Iš jų pagal asignavimų valdytojus:</t>
  </si>
  <si>
    <t>5.25.</t>
  </si>
  <si>
    <t>5.26.</t>
  </si>
  <si>
    <t>5.27.</t>
  </si>
  <si>
    <t>5.28.</t>
  </si>
  <si>
    <t>5.29.</t>
  </si>
  <si>
    <t>5.30.</t>
  </si>
  <si>
    <t>Etninės kultūros plėtros programai įgyvendinti</t>
  </si>
  <si>
    <t>5.31.</t>
  </si>
  <si>
    <t>5.32.</t>
  </si>
  <si>
    <t>5.33.</t>
  </si>
  <si>
    <t>Kultūros mėgėjų meninės veiklos rėmimo programai įgyvendinti</t>
  </si>
  <si>
    <t>5.34.</t>
  </si>
  <si>
    <t>3.16.</t>
  </si>
  <si>
    <t>Raseinių rajono švietimo pagalbos tarnyba</t>
  </si>
  <si>
    <t>Ugdymo įstaigų neformaliojo švietimo organizavimui (vasaros užimtumui)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</si>
  <si>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</si>
  <si>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</si>
  <si>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</si>
  <si>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</si>
  <si>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</si>
  <si>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</si>
  <si>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</si>
  <si>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</si>
  <si>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</si>
  <si>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Raseinių m. prekyvietės ir viešųjų erdvių modernizavimas (Vytauto Didžiojo g., Žemaitės g., V. Grybo g. ir Algirdo g.)</t>
  </si>
  <si>
    <t>Lietuvos Valstybės atkūrimo šimtmečio minėjimo Raseinių rajone 2017-2020 metų programos priemonių vykdymui</t>
  </si>
  <si>
    <t>5.36.</t>
  </si>
  <si>
    <t>5.37.</t>
  </si>
  <si>
    <t>5.38.</t>
  </si>
  <si>
    <t>5.39.</t>
  </si>
  <si>
    <t>5.40.</t>
  </si>
  <si>
    <t>5.41.</t>
  </si>
  <si>
    <t>5.35.</t>
  </si>
  <si>
    <t>Raseinių rajono kultūros centro Raseiniuose, Vytauto Didžiojo g. 10, rekonstravimas, infrastruktūros pritaikymas visuomenės poreikiams</t>
  </si>
  <si>
    <t>11.1.37.</t>
  </si>
  <si>
    <t>3.1.30.</t>
  </si>
  <si>
    <t>Nakvynės namų veiklos užtikrinimas</t>
  </si>
  <si>
    <t>11.1.38.</t>
  </si>
  <si>
    <t>Viduklės miestelio bendruomeninės infrastruktūros gerinimas</t>
  </si>
  <si>
    <t xml:space="preserve">   Iš jų pagal asignavimų valdytojus:</t>
  </si>
  <si>
    <t xml:space="preserve">Vandens tiekimo ir nuotekų tvarkymo, elektros tiekimo ir kt. komunalinės paskirties objektų išpirkimas </t>
  </si>
  <si>
    <t>Integruotų priklausomybės ligų gydymo paslaugų kokybės ir prieinamumo gerinimas</t>
  </si>
  <si>
    <t xml:space="preserve"> 2019 m. gruodžio 27  d. sprendimu Nr.TS-378</t>
  </si>
  <si>
    <t>Sukurti ankstyvojo savižudybių atpažinimo ir kompleksinės pagalbos savižudybės grėsmę patiriantiems asmenims teikimo sistemą</t>
  </si>
  <si>
    <t>VšĮ Raseinių neįgaliųjų užimtumo ir paslaugų centro veiklos finansavimas-  iš viso, iš jų:</t>
  </si>
  <si>
    <t>Projekto "Kokybės krepšelis" įgyvendinimas</t>
  </si>
  <si>
    <t>Projekto "Plaukime kartu" įgyvendinimas</t>
  </si>
  <si>
    <t>Projekto "Augu aktyviai judėdamas" įgyvendinimas</t>
  </si>
  <si>
    <t>2.4.1.</t>
  </si>
  <si>
    <t>2.4.2.</t>
  </si>
  <si>
    <t>Pagalbos pinigų ir atlygio mokėjimas</t>
  </si>
  <si>
    <t>Socialinių paslaugų, socialinių paslaugų įstaigose pirkimas ir apmokėjimas</t>
  </si>
  <si>
    <t>VšĮ Raseinių ligoninės materialinės bazės gerinimas</t>
  </si>
  <si>
    <t>Raseinių rajono savivaldybės viešosiose asmens sveikatos priežiūros įstaigose dirbančių gydytojų ir medicinos psichologų kelionės išlaidų kompensavimas</t>
  </si>
  <si>
    <t>Kultūros projektų rengimas ir bendrasis finansavimas</t>
  </si>
  <si>
    <t>Žemdirbių švenčių, mokomųjų kelionių, seminarų ir kitų renginių organizavimas rajono žemės ūkio subjektams</t>
  </si>
  <si>
    <t>Įgyvendintų investicinių projektų priežiūra bei kaimo infrastruktūros problemų sprendimas</t>
  </si>
  <si>
    <t>Komunalinių atliekų tvarkymo administravimas</t>
  </si>
  <si>
    <t>Rajono Savivaldybės administracijos Švietimo ir sporto skyrius - iš viso</t>
  </si>
  <si>
    <t>Įstaigos darbuotojų važiavimo išlaidų kompensavimui</t>
  </si>
  <si>
    <r>
      <t xml:space="preserve">      </t>
    </r>
    <r>
      <rPr>
        <sz val="8"/>
        <rFont val="Times New Roman"/>
        <family val="1"/>
        <charset val="186"/>
      </rPr>
      <t>Iš jų pagal asignavimų valdytojus:</t>
    </r>
  </si>
  <si>
    <t>8.1.6.</t>
  </si>
  <si>
    <t>9.1.5.</t>
  </si>
  <si>
    <t>9.1.7.</t>
  </si>
  <si>
    <t>9.1.8.</t>
  </si>
  <si>
    <t xml:space="preserve"> Rajono Savivaldybės administracijos Strateginio planavimo ir projektų valdymo skyrius - iš viso</t>
  </si>
  <si>
    <t>11.1.5.</t>
  </si>
  <si>
    <t>Rajono Savivaldybės administracijos Vie6osios tvarkos skyrius -  iš viso</t>
  </si>
  <si>
    <t>12.1.3.</t>
  </si>
  <si>
    <t>Rajono Savivaldybės administracijos Komunikacijos, kultūros ir turizmo skyrius , iš jų:</t>
  </si>
  <si>
    <t>3.1.24.</t>
  </si>
  <si>
    <t>Rajono Savivaldybės administracijos Komunikacijos, kultūros ir turizmo skyrius - iš viso</t>
  </si>
  <si>
    <t>Rajono Savivaldybės administracijos Bendrųjų reikalų ir informacinių technologijų skyrius - iš viso</t>
  </si>
  <si>
    <t>Rajono Savivaldybės administracijos Strateginio planavimo ir projektų valdymo skyrius - iš viso</t>
  </si>
  <si>
    <t>Rajono Savivaldybės administracijos Teisės, personalo ir civilinės metrikacijos skyrius - iš viso</t>
  </si>
  <si>
    <t>Mokinių pavėžėjimo į ugdymo įstaigas išlaidų kompensavimas</t>
  </si>
  <si>
    <t>1.4.1.</t>
  </si>
  <si>
    <t>1.4.2.</t>
  </si>
  <si>
    <t>1.6.1.</t>
  </si>
  <si>
    <t>1.7.1.</t>
  </si>
  <si>
    <t>10.1.3.</t>
  </si>
  <si>
    <t>10.1.11.</t>
  </si>
  <si>
    <t>2.6.1.</t>
  </si>
  <si>
    <t>Iš viso ML*</t>
  </si>
  <si>
    <t>ML-  Valstybės biudžeto specialioji tikslinė dotacija - mokymo lėšos</t>
  </si>
  <si>
    <t>10.1.14.</t>
  </si>
  <si>
    <t>Vienkartinių, tikslinių, periodinių ir sąlyginių  pašalpų mokėjimas</t>
  </si>
  <si>
    <t>2021 m. vasario  d. sprendimo Nr. TS-</t>
  </si>
  <si>
    <t xml:space="preserve">RASEINIŲ RAJONO SAVIVALDYBĖS 2021 METŲ  BIUDŽETO ASIGNAVIMAI PAGAL PROGRAMAS IR  ASIGNAVIMŲ VALDYTOJUS  </t>
  </si>
  <si>
    <t xml:space="preserve"> VALDYMO TOBULINIMO PROGRAMA -   iš viso</t>
  </si>
  <si>
    <t>Tarybos veiklos finansavimas</t>
  </si>
  <si>
    <t>Mero tarnybos veiklos finansavimas</t>
  </si>
  <si>
    <t>Rajono Savivaldybės tarybos sekretoriato  veiklos finansavimas</t>
  </si>
  <si>
    <t>Viešųjų pirkimų ekspertų konsultavimo paslaugų pirkimas</t>
  </si>
  <si>
    <t>Tarpinstitucinio bendradarbiavimo koordinavimas</t>
  </si>
  <si>
    <t>Elektroninių darbo organizavimo valdymo priemonių diegimas Savivaldybės biudžeto įstaigose</t>
  </si>
  <si>
    <t>Socialinės globos su negalia administravimas</t>
  </si>
  <si>
    <t>Dalyvavimas rengiant ir vykdant mobilizaciją, demobilizaciją, priimančios šalies paramą</t>
  </si>
  <si>
    <t>Savivaldybės vidinės komunikacijos, organizuojant darbuotojams mokymus ir skatinant naudoti vidinės komunikacijos priemones (intranetas ir kt.), stiprinimas</t>
  </si>
  <si>
    <t>Patrauklaus Raseinių rajono savivaldybės įvaizdžio, kuriant ir įgyvendinant viešųjų ryšių strategiją, formavimas</t>
  </si>
  <si>
    <t>Regiono plėtros tarybos dalinis finansavimas</t>
  </si>
  <si>
    <t>Parengti trūkstamų specialistų pritraukimą gyventi ir dirbti rajone programą</t>
  </si>
  <si>
    <t>ŠVIETIMO PAŽANGOS IR JAUNIMO UŽIMTUMO PROGRAMA - iš viso</t>
  </si>
  <si>
    <t>Švietimo ir sporto skyriaus švietimo veiklos organizavimas</t>
  </si>
  <si>
    <t>Abiturientų apdovanojimui už brandos egzaminų rezultatus</t>
  </si>
  <si>
    <t>„Erasmus+“ projekto įgyvendinimui Patyriminis ugdymas. Augdamas Atsakingai Auginu.</t>
  </si>
  <si>
    <t>Vyresniųjų suaugusiųjų neformalaus švietimo, užimtumo skatinimas</t>
  </si>
  <si>
    <t>Atviros jaunimo erdvės veiklų finansavimas</t>
  </si>
  <si>
    <t>Ugdymo įstaigų modernizavimas (edukacinių erdvių atnaujinimas, mokymo priemonių įsigijimas ir kt.)</t>
  </si>
  <si>
    <t>Projektui "Raseinių r. Ariogalos gimnazijos mokyklos pastato (Vytauto g. 94, Ariogalos m.) rekonstravimas"</t>
  </si>
  <si>
    <t>Jaunimo reikalų tarybos iniciatyvų finansavimas</t>
  </si>
  <si>
    <t>Raseinių rajono jaunimo organizacijų ir neformalių grupių projektų finansavimas</t>
  </si>
  <si>
    <t>Raseinių rajono jaunimo vasaros užimtumo ir integravimo į darbo rinką programa</t>
  </si>
  <si>
    <t>Projektui "Mobilaus darbo su jaunimu finansavimas"</t>
  </si>
  <si>
    <t xml:space="preserve"> SOCIALINĖS ATSKIRTIES MAŽINIMO PROGRAMA - iš viso</t>
  </si>
  <si>
    <t>Šildymo išlaidų kompensacijų (kito kuro) mokėjimas ir administravimas</t>
  </si>
  <si>
    <t>Būsto šildymo išlaidų, geriamojo vandens išlaidų ir karšto vandens išlaidų kompensacijų mokėjimas</t>
  </si>
  <si>
    <t>Parama mokinio reikmenims įsigyti (su admin. išlaidomis)</t>
  </si>
  <si>
    <t>Paramos maisto produktais ir higienos prekėmis dalinimas ir administravimas</t>
  </si>
  <si>
    <t>Mokinių nemokamas maitinimas ir administravimas</t>
  </si>
  <si>
    <t>Užimtumo didinimo programos įgyvendinimas</t>
  </si>
  <si>
    <t>Užimtumo skatinimo ir motyvavimo paslaugų nedirbantiems ir socialinę paramą gaunantiems asmenims modelio įgyvendinimas</t>
  </si>
  <si>
    <t>VšĮ Raseinių neįgaliųjų užimtumo ir paslaugų centro veiklos užtikrinimas</t>
  </si>
  <si>
    <t>Ilgalaikė (trumpalaikė) socialinė globa (RNUPC)</t>
  </si>
  <si>
    <t>Dienos socialinės globos teikimas (RSPC)</t>
  </si>
  <si>
    <t>Socialinės priežiūros šeimoms teikimas (RSPC)</t>
  </si>
  <si>
    <t>Socialinių paslaugų, biudžetinių įstaigų veiklos užtikrinimas</t>
  </si>
  <si>
    <t>Vaikų dienos centro veiklos plėtra (RSPC)</t>
  </si>
  <si>
    <t>Raseinių kūno kultūros ir sporto centro sporto renginių programos vykdymas</t>
  </si>
  <si>
    <t>Skatinti jaunų specialistų (trenerių) kvalifikacijos kėlimą</t>
  </si>
  <si>
    <t>Raseinių r. Ariogalos gimnazijos sporto stadiono statyba</t>
  </si>
  <si>
    <t>VšĮ Raseinių PSPC materialinės bazės gerinimas</t>
  </si>
  <si>
    <t>VšĮ Raseinių psichikos sveikatos centro materialinės bazės atnaujinimas</t>
  </si>
  <si>
    <t>Užtikrinti Raseinių rajono savivaldybės visuomenės sveikatos rėmimo specialiosios programos įgyvendinimą</t>
  </si>
  <si>
    <t>Remti kultūros mėgėjų meninę-leidybinę veiklą</t>
  </si>
  <si>
    <t>Meno rezidencijos įkūrimas Žaiginio k., Šiluvos sen.</t>
  </si>
  <si>
    <t>Istorinių miesto simbolių gaivinimo ir sklaidos programos įgyvendinimas</t>
  </si>
  <si>
    <t>Simono Stanevičiaus sodybos-memorialinio muziejaus infrastruktūros atkūrimas ir pastatų, tvorų remontas-restauracija</t>
  </si>
  <si>
    <t>SVEIKOS VISUOMENĖS FORMAVIMO PROGRAMA - iš viso</t>
  </si>
  <si>
    <t>KULTŪROS, TURIZMO IR VERSLO APLINKOS GERINIMO PROGRAMA - iš viso</t>
  </si>
  <si>
    <t>KULTŪROS PAVELDO IŠSAUGOJIMO PROGRAMA - iš viso</t>
  </si>
  <si>
    <t>TERITORIJŲ PLANAVIMO PROGRAMA - iš viso</t>
  </si>
  <si>
    <t>KAIMO PLĖTROS  IR BENDRUOMENĖS AKTYVINIMO PROGRAMA - iš viso</t>
  </si>
  <si>
    <t>NVO tarybų veikla</t>
  </si>
  <si>
    <t>Raseinių rajono melioracijos darbų programa ir kitų melioracijos griovių, kitų valstybei priklausančių melioracijos statinių remontas bei priežiūra ir kt.</t>
  </si>
  <si>
    <t>KOMUNALINIO ŪKIO PRIEŽIŪROS BEI REMONTO DARBŲ PROGRAMA - iš viso</t>
  </si>
  <si>
    <t>Be šeimininkių apleistų pastatų ir įrenginių likvidavimas Raseinių rajono savivaldybėje, II etapas</t>
  </si>
  <si>
    <t>Rajono Savivaldybės pastatų, statinių ir kito turto inventorizavimas, teisinis registravimas, vertinimas ir turto draudimas</t>
  </si>
  <si>
    <t>Dotacija UAB "Raseinių komunalinės paslaugos" už daugiabučių modernizavimo programos vykdymą</t>
  </si>
  <si>
    <t>INVESTICIJŲ PROGRAMA - iš viso</t>
  </si>
  <si>
    <t>Vietinės reikšmės keliams (gatvėms) tiesti, taisyti, prižiūrėti ir saugaus eismo sąlygoms užtikrinti, projektų ekspertizei ir techninei priežiūrai vykdyti</t>
  </si>
  <si>
    <t>Atnaujinti ir plėsti pažeidimų fiksavimo priemones Raseinių rajone</t>
  </si>
  <si>
    <t>Situacijų, įvykusių avarijų metu valdymas ir jų pasekmių likvidavimas</t>
  </si>
  <si>
    <t>Administracijos direktoriaus rezervas</t>
  </si>
  <si>
    <t>APLINKOS APSAUGOS IR VISUOMENĖS SAUGUMO UŽTIKRINIMO PROGRAMA - iš viso</t>
  </si>
  <si>
    <t>Raseinių r. Ariogalos gimnazija iš viso, iš jų:</t>
  </si>
  <si>
    <t>2.2.1.</t>
  </si>
  <si>
    <t>5.4.</t>
  </si>
  <si>
    <t>5.4.1.</t>
  </si>
  <si>
    <t>5.5.3.</t>
  </si>
  <si>
    <t>5.5.4.</t>
  </si>
  <si>
    <t>5.5.5.</t>
  </si>
  <si>
    <t>5.5.7.</t>
  </si>
  <si>
    <t>5.6.1.</t>
  </si>
  <si>
    <t>Vidutinio greičio matavimo sistemos įrengimas valstybinės reikšmės rajoninio kelio Nr. 3503 Paraseinys - Alėjai - Lioliai - Kelmė ruože nuo 5,930 iki 6,950 km</t>
  </si>
  <si>
    <t>4.3.</t>
  </si>
  <si>
    <t>4.3.1.</t>
  </si>
  <si>
    <t>4.3.2.</t>
  </si>
  <si>
    <t>4.4.</t>
  </si>
  <si>
    <t>4.4.1.</t>
  </si>
  <si>
    <t>4.4.2.</t>
  </si>
  <si>
    <t>4.5.</t>
  </si>
  <si>
    <t>4.5.1.</t>
  </si>
  <si>
    <t>12.1.6.</t>
  </si>
  <si>
    <t>12.1.7.</t>
  </si>
  <si>
    <t xml:space="preserve">Raseinių r. Nemakščių Martyno Mažvydo gimnazija </t>
  </si>
  <si>
    <t>1.1.4.21.</t>
  </si>
  <si>
    <t>1.1.4.22.</t>
  </si>
  <si>
    <t>1.4.3.</t>
  </si>
  <si>
    <t>1.4.4.</t>
  </si>
  <si>
    <t>1.5.</t>
  </si>
  <si>
    <t>1.5.1.</t>
  </si>
  <si>
    <t>1.5.2.</t>
  </si>
  <si>
    <t>1.5.3.</t>
  </si>
  <si>
    <t>1.7.2.</t>
  </si>
  <si>
    <t>1.7.3.</t>
  </si>
  <si>
    <t>1.09.</t>
  </si>
  <si>
    <t>2.1.7.</t>
  </si>
  <si>
    <t>2.1.9.</t>
  </si>
  <si>
    <t>2.1.10.</t>
  </si>
  <si>
    <t>2.1.11.</t>
  </si>
  <si>
    <t>2.1.12.</t>
  </si>
  <si>
    <t>2.1.13.</t>
  </si>
  <si>
    <t>2.13.</t>
  </si>
  <si>
    <t>2.16.</t>
  </si>
  <si>
    <t>2.16.1.</t>
  </si>
  <si>
    <t>2.16.2</t>
  </si>
  <si>
    <t>3.1.22.</t>
  </si>
  <si>
    <t>3.1.23.</t>
  </si>
  <si>
    <t>3.1.25.</t>
  </si>
  <si>
    <t>3.3.1.</t>
  </si>
  <si>
    <t>3.3.2.</t>
  </si>
  <si>
    <t>3.3.3.</t>
  </si>
  <si>
    <t>3.4.4.</t>
  </si>
  <si>
    <t>4.1.3.</t>
  </si>
  <si>
    <t>4.3.3.</t>
  </si>
  <si>
    <t>4.5.2.</t>
  </si>
  <si>
    <t>4.5.3.</t>
  </si>
  <si>
    <t>4.6.</t>
  </si>
  <si>
    <t>4.6.1.</t>
  </si>
  <si>
    <t>10.1.10.</t>
  </si>
  <si>
    <t>10.14.</t>
  </si>
  <si>
    <t>10.14.1.</t>
  </si>
  <si>
    <t>10.14.2.</t>
  </si>
  <si>
    <t>10.1.15.</t>
  </si>
  <si>
    <t>Seniūnijų gatvių apšvietimo tinklų eksploatavimas</t>
  </si>
  <si>
    <t>Raseinių  r. sav. miestų, kaimų ir miestelių apšvietimo tinklų rekonstrukcija ir įrengimas</t>
  </si>
  <si>
    <t>11.2.</t>
  </si>
  <si>
    <t xml:space="preserve">   Iš jų:</t>
  </si>
  <si>
    <t>11.2.1.</t>
  </si>
  <si>
    <t>4.5.4.</t>
  </si>
  <si>
    <t>VšĮ Ariogalos PSPC materialinės bazės gerinimas</t>
  </si>
  <si>
    <t>Raseinių Marcelijaus Martinaičio viešosios bibliotekos knygų ir kitų neperiodinių dokumentų įsigijimas</t>
  </si>
  <si>
    <t>5.2.2.</t>
  </si>
  <si>
    <t>Lėšos, skirto konsultacijoms mokiniams, patiriantiems mokymosi sunkumų.</t>
  </si>
  <si>
    <t>2.16.3.</t>
  </si>
  <si>
    <t>2.16.4</t>
  </si>
  <si>
    <t>Raseinių r. Viduklės Simono Stanevičiaus gimnazija iš viso, iš jų:</t>
  </si>
  <si>
    <t>Raseinių rajono kultūros centras iš viso, iš jų:</t>
  </si>
  <si>
    <t>3.1.25.1.</t>
  </si>
  <si>
    <t>3.1.25.2.</t>
  </si>
  <si>
    <t>5.4.2.</t>
  </si>
  <si>
    <t>Kultūros įstaigų pastatų ir materialinės bazės audito atlikimas</t>
  </si>
  <si>
    <t>8.1.4.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</si>
</sst>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7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6"/>
      <name val="Cambria"/>
      <family val="1"/>
      <charset val="186"/>
    </font>
    <font>
      <sz val="6"/>
      <name val="Cambria"/>
      <family val="1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  <font>
      <b/>
      <i/>
      <sz val="8"/>
      <name val="Arial"/>
      <family val="2"/>
      <charset val="186"/>
    </font>
    <font>
      <sz val="8"/>
      <name val="Cambria"/>
      <family val="1"/>
      <charset val="186"/>
    </font>
    <font>
      <b/>
      <sz val="8"/>
      <name val="Cambria"/>
      <family val="1"/>
      <charset val="186"/>
    </font>
    <font>
      <sz val="6"/>
      <name val="Arial"/>
      <family val="2"/>
      <charset val="186"/>
    </font>
    <font>
      <b/>
      <sz val="7"/>
      <name val="Cambria"/>
      <family val="1"/>
      <charset val="186"/>
    </font>
    <font>
      <sz val="6"/>
      <name val="Times New Roman"/>
      <family val="1"/>
      <charset val="186"/>
    </font>
    <font>
      <sz val="11"/>
      <name val="Times New Roman"/>
      <family val="1"/>
      <charset val="186"/>
    </font>
    <font>
      <i/>
      <sz val="8"/>
      <name val="Arial"/>
      <family val="2"/>
      <charset val="186"/>
    </font>
    <font>
      <sz val="12"/>
      <name val="Times New Roman"/>
      <family val="2"/>
      <charset val="186"/>
    </font>
    <font>
      <i/>
      <sz val="8"/>
      <name val="Times New Roman"/>
      <family val="1"/>
      <charset val="186"/>
    </font>
    <font>
      <sz val="12"/>
      <color rgb="FF006100"/>
      <name val="Times New Roman"/>
      <family val="2"/>
      <charset val="186"/>
    </font>
    <font>
      <sz val="9"/>
      <color rgb="FF000000"/>
      <name val="Times New Roman"/>
      <family val="1"/>
      <charset val="186"/>
    </font>
    <font>
      <sz val="8"/>
      <color rgb="FFFF0000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2"/>
      <name val="Times New Roman"/>
      <family val="1"/>
      <charset val="186"/>
    </font>
    <font>
      <sz val="8"/>
      <color rgb="FFFF0000"/>
      <name val="Cambria"/>
      <family val="1"/>
      <charset val="186"/>
    </font>
    <font>
      <b/>
      <sz val="11"/>
      <name val="Cambria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2" borderId="0" applyNumberFormat="0" applyBorder="0" applyAlignment="0" applyProtection="0"/>
  </cellStyleXfs>
  <cellXfs count="130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5" fillId="0" borderId="0" xfId="0" applyFont="1"/>
    <xf numFmtId="0" fontId="7" fillId="0" borderId="0" xfId="0" applyFont="1"/>
    <xf numFmtId="0" fontId="0" fillId="3" borderId="0" xfId="0" applyFill="1"/>
    <xf numFmtId="0" fontId="2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7" xfId="0" applyFont="1" applyBorder="1" applyAlignment="1"/>
    <xf numFmtId="0" fontId="1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5" fillId="4" borderId="5" xfId="0" applyNumberFormat="1" applyFont="1" applyFill="1" applyBorder="1" applyAlignment="1">
      <alignment horizontal="left" vertical="center" wrapText="1"/>
    </xf>
    <xf numFmtId="1" fontId="20" fillId="0" borderId="25" xfId="0" applyNumberFormat="1" applyFont="1" applyFill="1" applyBorder="1" applyAlignment="1">
      <alignment horizontal="left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left" vertical="center" wrapText="1"/>
    </xf>
    <xf numFmtId="1" fontId="20" fillId="0" borderId="15" xfId="0" applyNumberFormat="1" applyFont="1" applyFill="1" applyBorder="1" applyAlignment="1">
      <alignment horizontal="left" vertical="center" wrapText="1"/>
    </xf>
    <xf numFmtId="1" fontId="19" fillId="4" borderId="26" xfId="0" applyNumberFormat="1" applyFont="1" applyFill="1" applyBorder="1" applyAlignment="1">
      <alignment horizontal="left" vertical="center" wrapText="1"/>
    </xf>
    <xf numFmtId="1" fontId="19" fillId="0" borderId="27" xfId="0" applyNumberFormat="1" applyFont="1" applyFill="1" applyBorder="1" applyAlignment="1">
      <alignment horizontal="left" vertical="center" wrapText="1"/>
    </xf>
    <xf numFmtId="1" fontId="24" fillId="0" borderId="27" xfId="0" applyNumberFormat="1" applyFont="1" applyFill="1" applyBorder="1" applyAlignment="1">
      <alignment horizontal="center" vertical="center" wrapText="1"/>
    </xf>
    <xf numFmtId="1" fontId="18" fillId="0" borderId="29" xfId="0" applyNumberFormat="1" applyFont="1" applyFill="1" applyBorder="1" applyAlignment="1">
      <alignment horizontal="center" vertical="center" wrapText="1"/>
    </xf>
    <xf numFmtId="1" fontId="24" fillId="0" borderId="29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left" vertical="center" wrapText="1"/>
    </xf>
    <xf numFmtId="1" fontId="8" fillId="3" borderId="25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49" fontId="20" fillId="3" borderId="25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/>
    </xf>
    <xf numFmtId="49" fontId="19" fillId="3" borderId="25" xfId="0" applyNumberFormat="1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left" vertical="center" wrapText="1"/>
    </xf>
    <xf numFmtId="1" fontId="20" fillId="0" borderId="34" xfId="0" applyNumberFormat="1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20" fillId="0" borderId="30" xfId="0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/>
    </xf>
    <xf numFmtId="1" fontId="19" fillId="0" borderId="34" xfId="0" applyNumberFormat="1" applyFont="1" applyFill="1" applyBorder="1" applyAlignment="1">
      <alignment horizontal="left" vertical="center" wrapText="1"/>
    </xf>
    <xf numFmtId="0" fontId="29" fillId="0" borderId="0" xfId="0" applyFont="1"/>
    <xf numFmtId="1" fontId="24" fillId="0" borderId="37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1" fontId="5" fillId="4" borderId="38" xfId="0" applyNumberFormat="1" applyFont="1" applyFill="1" applyBorder="1" applyAlignment="1">
      <alignment horizontal="left" vertical="center" wrapText="1"/>
    </xf>
    <xf numFmtId="1" fontId="1" fillId="3" borderId="39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40" xfId="0" applyNumberFormat="1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40" xfId="0" applyNumberFormat="1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4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0" fontId="20" fillId="0" borderId="31" xfId="0" applyFont="1" applyFill="1" applyBorder="1"/>
    <xf numFmtId="49" fontId="20" fillId="0" borderId="32" xfId="0" applyNumberFormat="1" applyFont="1" applyFill="1" applyBorder="1" applyAlignment="1">
      <alignment horizontal="center" vertical="center" wrapText="1"/>
    </xf>
    <xf numFmtId="1" fontId="24" fillId="0" borderId="3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5" fillId="0" borderId="0" xfId="0" applyFont="1" applyAlignment="1"/>
    <xf numFmtId="49" fontId="2" fillId="4" borderId="5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20" fillId="3" borderId="37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vertical="center" wrapText="1"/>
    </xf>
    <xf numFmtId="0" fontId="18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20" fillId="3" borderId="34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19" fillId="3" borderId="34" xfId="0" applyNumberFormat="1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left" vertical="center" wrapText="1"/>
    </xf>
    <xf numFmtId="1" fontId="19" fillId="4" borderId="45" xfId="0" applyNumberFormat="1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28" fillId="0" borderId="37" xfId="0" applyNumberFormat="1" applyFont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left" vertical="center" wrapText="1"/>
    </xf>
    <xf numFmtId="1" fontId="24" fillId="0" borderId="49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/>
    </xf>
    <xf numFmtId="14" fontId="21" fillId="0" borderId="3" xfId="0" applyNumberFormat="1" applyFont="1" applyBorder="1" applyAlignment="1">
      <alignment vertical="center" wrapText="1"/>
    </xf>
    <xf numFmtId="1" fontId="8" fillId="3" borderId="34" xfId="0" applyNumberFormat="1" applyFont="1" applyFill="1" applyBorder="1" applyAlignment="1">
      <alignment horizontal="center"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0" fontId="33" fillId="0" borderId="0" xfId="1" applyFill="1"/>
    <xf numFmtId="164" fontId="33" fillId="0" borderId="0" xfId="1" applyNumberFormat="1" applyFill="1"/>
    <xf numFmtId="0" fontId="20" fillId="4" borderId="1" xfId="0" applyFont="1" applyFill="1" applyBorder="1" applyAlignment="1">
      <alignment horizontal="center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" fontId="19" fillId="4" borderId="26" xfId="0" applyNumberFormat="1" applyFont="1" applyFill="1" applyBorder="1"/>
    <xf numFmtId="0" fontId="18" fillId="0" borderId="24" xfId="0" applyFont="1" applyFill="1" applyBorder="1" applyAlignment="1">
      <alignment horizontal="left" vertical="center" wrapText="1"/>
    </xf>
    <xf numFmtId="0" fontId="16" fillId="4" borderId="5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9" fontId="20" fillId="0" borderId="36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/>
    </xf>
    <xf numFmtId="49" fontId="27" fillId="0" borderId="37" xfId="0" applyNumberFormat="1" applyFont="1" applyFill="1" applyBorder="1" applyAlignment="1">
      <alignment horizontal="center" vertical="center"/>
    </xf>
    <xf numFmtId="49" fontId="20" fillId="3" borderId="37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 wrapText="1"/>
    </xf>
    <xf numFmtId="1" fontId="4" fillId="4" borderId="53" xfId="0" applyNumberFormat="1" applyFont="1" applyFill="1" applyBorder="1" applyAlignment="1">
      <alignment horizontal="center" vertical="center" wrapText="1"/>
    </xf>
    <xf numFmtId="1" fontId="4" fillId="4" borderId="52" xfId="0" applyNumberFormat="1" applyFont="1" applyFill="1" applyBorder="1" applyAlignment="1">
      <alignment horizontal="center" vertical="center" wrapText="1"/>
    </xf>
    <xf numFmtId="1" fontId="4" fillId="4" borderId="45" xfId="0" applyNumberFormat="1" applyFont="1" applyFill="1" applyBorder="1" applyAlignment="1">
      <alignment horizontal="center" vertical="center" wrapText="1"/>
    </xf>
    <xf numFmtId="1" fontId="4" fillId="4" borderId="51" xfId="0" applyNumberFormat="1" applyFont="1" applyFill="1" applyBorder="1" applyAlignment="1">
      <alignment horizontal="center" vertical="center" wrapText="1"/>
    </xf>
    <xf numFmtId="1" fontId="7" fillId="0" borderId="55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0" xfId="0" applyNumberFormat="1" applyFont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23" fillId="0" borderId="27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7" fillId="3" borderId="27" xfId="0" applyNumberFormat="1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 wrapText="1"/>
    </xf>
    <xf numFmtId="1" fontId="35" fillId="3" borderId="39" xfId="0" applyNumberFormat="1" applyFont="1" applyFill="1" applyBorder="1" applyAlignment="1">
      <alignment horizontal="center" vertical="center" wrapText="1"/>
    </xf>
    <xf numFmtId="1" fontId="8" fillId="3" borderId="27" xfId="0" applyNumberFormat="1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1" fontId="8" fillId="3" borderId="40" xfId="0" applyNumberFormat="1" applyFont="1" applyFill="1" applyBorder="1" applyAlignment="1">
      <alignment horizontal="center" vertical="center" wrapText="1"/>
    </xf>
    <xf numFmtId="1" fontId="9" fillId="3" borderId="27" xfId="0" applyNumberFormat="1" applyFont="1" applyFill="1" applyBorder="1" applyAlignment="1">
      <alignment horizontal="center" vertical="center" wrapText="1"/>
    </xf>
    <xf numFmtId="1" fontId="9" fillId="3" borderId="39" xfId="0" applyNumberFormat="1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3" borderId="40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1" fillId="3" borderId="27" xfId="0" applyNumberFormat="1" applyFont="1" applyFill="1" applyBorder="1" applyAlignment="1">
      <alignment horizontal="center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1" fontId="6" fillId="3" borderId="39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6" fillId="3" borderId="40" xfId="0" applyNumberFormat="1" applyFont="1" applyFill="1" applyBorder="1" applyAlignment="1">
      <alignment horizontal="center" vertical="center" wrapText="1"/>
    </xf>
    <xf numFmtId="1" fontId="3" fillId="3" borderId="56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center"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8" fillId="3" borderId="47" xfId="0" applyNumberFormat="1" applyFont="1" applyFill="1" applyBorder="1" applyAlignment="1">
      <alignment horizontal="center" vertical="center" wrapText="1"/>
    </xf>
    <xf numFmtId="1" fontId="7" fillId="3" borderId="22" xfId="0" applyNumberFormat="1" applyFont="1" applyFill="1" applyBorder="1" applyAlignment="1">
      <alignment horizontal="center" vertical="center" wrapText="1"/>
    </xf>
    <xf numFmtId="1" fontId="7" fillId="3" borderId="55" xfId="0" applyNumberFormat="1" applyFont="1" applyFill="1" applyBorder="1" applyAlignment="1">
      <alignment horizontal="center" vertical="center" wrapText="1"/>
    </xf>
    <xf numFmtId="1" fontId="7" fillId="3" borderId="43" xfId="0" applyNumberFormat="1" applyFont="1" applyFill="1" applyBorder="1" applyAlignment="1">
      <alignment horizontal="center" vertical="center" wrapText="1"/>
    </xf>
    <xf numFmtId="1" fontId="7" fillId="3" borderId="54" xfId="0" applyNumberFormat="1" applyFont="1" applyFill="1" applyBorder="1" applyAlignment="1">
      <alignment horizontal="center" vertical="center" wrapText="1"/>
    </xf>
    <xf numFmtId="1" fontId="7" fillId="3" borderId="24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1" fillId="3" borderId="40" xfId="0" applyNumberFormat="1" applyFont="1" applyFill="1" applyBorder="1" applyAlignment="1">
      <alignment horizontal="center" vertical="center" wrapText="1"/>
    </xf>
    <xf numFmtId="1" fontId="12" fillId="0" borderId="39" xfId="0" applyNumberFormat="1" applyFont="1" applyBorder="1" applyAlignment="1">
      <alignment horizontal="center" vertical="center"/>
    </xf>
    <xf numFmtId="1" fontId="12" fillId="3" borderId="57" xfId="0" applyNumberFormat="1" applyFont="1" applyFill="1" applyBorder="1" applyAlignment="1">
      <alignment horizontal="center" vertical="center"/>
    </xf>
    <xf numFmtId="1" fontId="7" fillId="3" borderId="50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58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1" fontId="7" fillId="3" borderId="22" xfId="0" applyNumberFormat="1" applyFont="1" applyFill="1" applyBorder="1" applyAlignment="1">
      <alignment horizontal="center" vertical="center"/>
    </xf>
    <xf numFmtId="1" fontId="7" fillId="3" borderId="55" xfId="0" applyNumberFormat="1" applyFont="1" applyFill="1" applyBorder="1" applyAlignment="1">
      <alignment horizontal="center" vertical="center"/>
    </xf>
    <xf numFmtId="1" fontId="7" fillId="3" borderId="4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1" fillId="3" borderId="39" xfId="0" applyNumberFormat="1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/>
    </xf>
    <xf numFmtId="1" fontId="13" fillId="3" borderId="39" xfId="0" applyNumberFormat="1" applyFont="1" applyFill="1" applyBorder="1" applyAlignment="1">
      <alignment horizontal="center" vertical="center" wrapText="1"/>
    </xf>
    <xf numFmtId="1" fontId="13" fillId="3" borderId="39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1" fontId="8" fillId="3" borderId="47" xfId="0" applyNumberFormat="1" applyFont="1" applyFill="1" applyBorder="1" applyAlignment="1">
      <alignment horizontal="center" vertical="center"/>
    </xf>
    <xf numFmtId="1" fontId="12" fillId="3" borderId="21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7" fillId="3" borderId="27" xfId="0" applyNumberFormat="1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1" fontId="7" fillId="3" borderId="48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7" fillId="3" borderId="47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" fontId="7" fillId="3" borderId="40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3" borderId="29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39" xfId="0" applyNumberFormat="1" applyFont="1" applyFill="1" applyBorder="1" applyAlignment="1">
      <alignment horizontal="center" vertical="center"/>
    </xf>
    <xf numFmtId="1" fontId="6" fillId="3" borderId="40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45" xfId="0" applyNumberFormat="1" applyFont="1" applyFill="1" applyBorder="1" applyAlignment="1">
      <alignment horizontal="center" vertical="center" wrapText="1"/>
    </xf>
    <xf numFmtId="1" fontId="6" fillId="4" borderId="53" xfId="0" applyNumberFormat="1" applyFont="1" applyFill="1" applyBorder="1" applyAlignment="1">
      <alignment horizontal="center" vertical="center" wrapText="1"/>
    </xf>
    <xf numFmtId="1" fontId="6" fillId="4" borderId="51" xfId="0" applyNumberFormat="1" applyFont="1" applyFill="1" applyBorder="1" applyAlignment="1">
      <alignment horizontal="center" vertical="center" wrapText="1"/>
    </xf>
    <xf numFmtId="1" fontId="6" fillId="4" borderId="23" xfId="0" applyNumberFormat="1" applyFont="1" applyFill="1" applyBorder="1" applyAlignment="1">
      <alignment horizontal="center" vertical="center" wrapText="1"/>
    </xf>
    <xf numFmtId="1" fontId="6" fillId="4" borderId="52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58" xfId="0" applyNumberFormat="1" applyFont="1" applyFill="1" applyBorder="1" applyAlignment="1">
      <alignment horizontal="center" vertical="center" wrapText="1"/>
    </xf>
    <xf numFmtId="1" fontId="6" fillId="4" borderId="59" xfId="0" applyNumberFormat="1" applyFont="1" applyFill="1" applyBorder="1" applyAlignment="1">
      <alignment horizontal="center" vertical="center" wrapText="1"/>
    </xf>
    <xf numFmtId="1" fontId="7" fillId="3" borderId="28" xfId="0" applyNumberFormat="1" applyFont="1" applyFill="1" applyBorder="1" applyAlignment="1">
      <alignment horizontal="center" vertical="center" wrapText="1"/>
    </xf>
    <xf numFmtId="1" fontId="7" fillId="3" borderId="60" xfId="0" applyNumberFormat="1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1" fontId="3" fillId="3" borderId="29" xfId="0" applyNumberFormat="1" applyFont="1" applyFill="1" applyBorder="1" applyAlignment="1">
      <alignment horizontal="center" vertical="center" wrapText="1"/>
    </xf>
    <xf numFmtId="1" fontId="3" fillId="3" borderId="57" xfId="0" applyNumberFormat="1" applyFont="1" applyFill="1" applyBorder="1" applyAlignment="1">
      <alignment horizontal="center" vertical="center" wrapText="1"/>
    </xf>
    <xf numFmtId="1" fontId="3" fillId="3" borderId="50" xfId="0" applyNumberFormat="1" applyFont="1" applyFill="1" applyBorder="1" applyAlignment="1">
      <alignment horizontal="center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1" fontId="8" fillId="3" borderId="57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1" fontId="9" fillId="3" borderId="34" xfId="0" applyNumberFormat="1" applyFont="1" applyFill="1" applyBorder="1" applyAlignment="1">
      <alignment horizontal="center" vertical="center"/>
    </xf>
    <xf numFmtId="1" fontId="9" fillId="3" borderId="46" xfId="0" applyNumberFormat="1" applyFont="1" applyFill="1" applyBorder="1" applyAlignment="1">
      <alignment horizontal="center" vertical="center"/>
    </xf>
    <xf numFmtId="1" fontId="10" fillId="3" borderId="39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 wrapText="1"/>
    </xf>
    <xf numFmtId="1" fontId="10" fillId="3" borderId="39" xfId="0" applyNumberFormat="1" applyFont="1" applyFill="1" applyBorder="1" applyAlignment="1">
      <alignment horizontal="center" vertical="center" wrapText="1"/>
    </xf>
    <xf numFmtId="1" fontId="10" fillId="3" borderId="40" xfId="0" applyNumberFormat="1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1" fontId="8" fillId="3" borderId="48" xfId="0" applyNumberFormat="1" applyFont="1" applyFill="1" applyBorder="1" applyAlignment="1">
      <alignment horizontal="center" vertical="center" wrapText="1"/>
    </xf>
    <xf numFmtId="1" fontId="10" fillId="3" borderId="54" xfId="0" applyNumberFormat="1" applyFont="1" applyFill="1" applyBorder="1" applyAlignment="1">
      <alignment horizontal="center" vertical="center" wrapText="1"/>
    </xf>
    <xf numFmtId="1" fontId="10" fillId="3" borderId="55" xfId="0" applyNumberFormat="1" applyFont="1" applyFill="1" applyBorder="1" applyAlignment="1">
      <alignment horizontal="center" vertical="center" wrapText="1"/>
    </xf>
    <xf numFmtId="1" fontId="10" fillId="3" borderId="24" xfId="0" applyNumberFormat="1" applyFont="1" applyFill="1" applyBorder="1" applyAlignment="1">
      <alignment horizontal="center" vertical="center" wrapText="1"/>
    </xf>
    <xf numFmtId="1" fontId="10" fillId="3" borderId="22" xfId="0" applyNumberFormat="1" applyFont="1" applyFill="1" applyBorder="1" applyAlignment="1">
      <alignment horizontal="center" vertical="center" wrapText="1"/>
    </xf>
    <xf numFmtId="1" fontId="10" fillId="3" borderId="43" xfId="0" applyNumberFormat="1" applyFont="1" applyFill="1" applyBorder="1" applyAlignment="1">
      <alignment horizontal="center" vertical="center" wrapText="1"/>
    </xf>
    <xf numFmtId="1" fontId="0" fillId="3" borderId="11" xfId="0" applyNumberFormat="1" applyFill="1" applyBorder="1"/>
    <xf numFmtId="1" fontId="0" fillId="3" borderId="40" xfId="0" applyNumberFormat="1" applyFill="1" applyBorder="1"/>
    <xf numFmtId="1" fontId="2" fillId="3" borderId="27" xfId="0" applyNumberFormat="1" applyFont="1" applyFill="1" applyBorder="1"/>
    <xf numFmtId="1" fontId="10" fillId="3" borderId="3" xfId="0" applyNumberFormat="1" applyFont="1" applyFill="1" applyBorder="1"/>
    <xf numFmtId="1" fontId="3" fillId="0" borderId="27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7" fillId="3" borderId="21" xfId="0" applyNumberFormat="1" applyFont="1" applyFill="1" applyBorder="1" applyAlignment="1">
      <alignment horizontal="center" vertical="center" wrapText="1"/>
    </xf>
    <xf numFmtId="1" fontId="7" fillId="3" borderId="14" xfId="0" applyNumberFormat="1" applyFont="1" applyFill="1" applyBorder="1" applyAlignment="1">
      <alignment horizontal="center" vertical="center" wrapText="1"/>
    </xf>
    <xf numFmtId="1" fontId="7" fillId="3" borderId="47" xfId="0" applyNumberFormat="1" applyFont="1" applyFill="1" applyBorder="1" applyAlignment="1">
      <alignment horizontal="center" vertical="center" wrapText="1"/>
    </xf>
    <xf numFmtId="1" fontId="6" fillId="4" borderId="62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vertical="center" wrapText="1"/>
    </xf>
    <xf numFmtId="1" fontId="7" fillId="3" borderId="39" xfId="0" applyNumberFormat="1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6" fillId="4" borderId="45" xfId="0" applyNumberFormat="1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55" xfId="0" applyNumberFormat="1" applyFont="1" applyFill="1" applyBorder="1" applyAlignment="1">
      <alignment horizontal="center" vertical="center"/>
    </xf>
    <xf numFmtId="1" fontId="10" fillId="3" borderId="24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40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1" fontId="13" fillId="3" borderId="39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1" fontId="6" fillId="3" borderId="63" xfId="0" applyNumberFormat="1" applyFont="1" applyFill="1" applyBorder="1" applyAlignment="1">
      <alignment horizontal="center" vertical="center" wrapText="1"/>
    </xf>
    <xf numFmtId="1" fontId="3" fillId="3" borderId="57" xfId="0" applyNumberFormat="1" applyFont="1" applyFill="1" applyBorder="1" applyAlignment="1">
      <alignment horizontal="center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 wrapText="1"/>
    </xf>
    <xf numFmtId="1" fontId="7" fillId="3" borderId="6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61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 wrapText="1"/>
    </xf>
    <xf numFmtId="1" fontId="8" fillId="3" borderId="60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1" fontId="8" fillId="3" borderId="61" xfId="0" applyNumberFormat="1" applyFont="1" applyFill="1" applyBorder="1" applyAlignment="1">
      <alignment horizontal="center" vertical="center" wrapText="1"/>
    </xf>
    <xf numFmtId="1" fontId="6" fillId="3" borderId="55" xfId="0" applyNumberFormat="1" applyFont="1" applyFill="1" applyBorder="1" applyAlignment="1">
      <alignment horizontal="center" vertical="center"/>
    </xf>
    <xf numFmtId="1" fontId="6" fillId="3" borderId="24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/>
    </xf>
    <xf numFmtId="1" fontId="6" fillId="3" borderId="43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20" fillId="3" borderId="33" xfId="0" applyFont="1" applyFill="1" applyBorder="1"/>
    <xf numFmtId="1" fontId="19" fillId="0" borderId="33" xfId="0" applyNumberFormat="1" applyFont="1" applyFill="1" applyBorder="1" applyAlignment="1">
      <alignment horizontal="left" vertical="center" wrapText="1"/>
    </xf>
    <xf numFmtId="1" fontId="6" fillId="4" borderId="64" xfId="0" applyNumberFormat="1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 vertical="center" wrapText="1"/>
    </xf>
    <xf numFmtId="1" fontId="8" fillId="3" borderId="50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57" xfId="0" applyNumberFormat="1" applyFont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17" fillId="4" borderId="64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left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left" vertical="center" wrapText="1"/>
    </xf>
    <xf numFmtId="1" fontId="15" fillId="0" borderId="31" xfId="0" applyNumberFormat="1" applyFont="1" applyFill="1" applyBorder="1" applyAlignment="1">
      <alignment horizontal="left" vertical="center" wrapText="1"/>
    </xf>
    <xf numFmtId="1" fontId="15" fillId="0" borderId="49" xfId="0" applyNumberFormat="1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horizontal="left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1" fontId="17" fillId="4" borderId="26" xfId="0" applyNumberFormat="1" applyFont="1" applyFill="1" applyBorder="1" applyAlignment="1">
      <alignment horizontal="left" vertical="center" wrapText="1"/>
    </xf>
    <xf numFmtId="1" fontId="15" fillId="0" borderId="65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1" fontId="17" fillId="0" borderId="30" xfId="0" applyNumberFormat="1" applyFont="1" applyFill="1" applyBorder="1" applyAlignment="1">
      <alignment horizontal="left" vertical="center" wrapText="1"/>
    </xf>
    <xf numFmtId="1" fontId="17" fillId="0" borderId="15" xfId="0" applyNumberFormat="1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7" fillId="3" borderId="15" xfId="0" applyNumberFormat="1" applyFont="1" applyFill="1" applyBorder="1" applyAlignment="1">
      <alignment horizontal="center" vertical="center" wrapText="1"/>
    </xf>
    <xf numFmtId="1" fontId="17" fillId="3" borderId="15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left" vertical="center" wrapText="1"/>
    </xf>
    <xf numFmtId="1" fontId="17" fillId="0" borderId="33" xfId="0" applyNumberFormat="1" applyFont="1" applyFill="1" applyBorder="1" applyAlignment="1">
      <alignment horizontal="left" vertical="center" wrapText="1"/>
    </xf>
    <xf numFmtId="1" fontId="17" fillId="4" borderId="26" xfId="0" applyNumberFormat="1" applyFont="1" applyFill="1" applyBorder="1"/>
    <xf numFmtId="1" fontId="17" fillId="0" borderId="35" xfId="0" applyNumberFormat="1" applyFont="1" applyFill="1" applyBorder="1" applyAlignment="1">
      <alignment horizontal="left" vertical="center" wrapText="1"/>
    </xf>
    <xf numFmtId="1" fontId="15" fillId="0" borderId="34" xfId="0" applyNumberFormat="1" applyFont="1" applyFill="1" applyBorder="1" applyAlignment="1">
      <alignment horizontal="left" vertical="center" wrapText="1"/>
    </xf>
    <xf numFmtId="1" fontId="15" fillId="0" borderId="37" xfId="0" applyNumberFormat="1" applyFont="1" applyBorder="1" applyAlignment="1">
      <alignment horizontal="center" vertical="center" wrapText="1"/>
    </xf>
    <xf numFmtId="1" fontId="17" fillId="0" borderId="31" xfId="0" applyNumberFormat="1" applyFont="1" applyFill="1" applyBorder="1" applyAlignment="1">
      <alignment horizontal="left" vertical="center" wrapText="1"/>
    </xf>
    <xf numFmtId="1" fontId="17" fillId="3" borderId="25" xfId="0" applyNumberFormat="1" applyFont="1" applyFill="1" applyBorder="1" applyAlignment="1">
      <alignment horizontal="center" vertical="center" wrapText="1"/>
    </xf>
    <xf numFmtId="1" fontId="15" fillId="3" borderId="25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left" vertical="center"/>
    </xf>
    <xf numFmtId="1" fontId="15" fillId="0" borderId="32" xfId="0" applyNumberFormat="1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Border="1"/>
    <xf numFmtId="1" fontId="8" fillId="3" borderId="1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9" fillId="3" borderId="34" xfId="0" applyNumberFormat="1" applyFont="1" applyFill="1" applyBorder="1" applyAlignment="1">
      <alignment horizontal="center" vertical="center" wrapText="1"/>
    </xf>
    <xf numFmtId="1" fontId="12" fillId="3" borderId="34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1" fontId="12" fillId="3" borderId="6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left" vertical="center"/>
    </xf>
    <xf numFmtId="1" fontId="24" fillId="0" borderId="25" xfId="0" applyNumberFormat="1" applyFont="1" applyFill="1" applyBorder="1" applyAlignment="1">
      <alignment horizontal="center" vertical="center"/>
    </xf>
    <xf numFmtId="1" fontId="24" fillId="0" borderId="32" xfId="0" applyNumberFormat="1" applyFont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9" fontId="19" fillId="0" borderId="31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/>
    </xf>
    <xf numFmtId="1" fontId="36" fillId="3" borderId="3" xfId="0" applyNumberFormat="1" applyFont="1" applyFill="1" applyBorder="1" applyAlignment="1">
      <alignment horizontal="center" vertical="center"/>
    </xf>
    <xf numFmtId="1" fontId="30" fillId="3" borderId="3" xfId="0" applyNumberFormat="1" applyFont="1" applyFill="1" applyBorder="1" applyAlignment="1">
      <alignment horizontal="center" vertical="center" wrapText="1"/>
    </xf>
    <xf numFmtId="1" fontId="13" fillId="3" borderId="21" xfId="0" applyNumberFormat="1" applyFont="1" applyFill="1" applyBorder="1" applyAlignment="1">
      <alignment horizontal="center" vertical="center" wrapText="1"/>
    </xf>
    <xf numFmtId="1" fontId="13" fillId="3" borderId="21" xfId="0" applyNumberFormat="1" applyFont="1" applyFill="1" applyBorder="1" applyAlignment="1">
      <alignment horizontal="center"/>
    </xf>
    <xf numFmtId="1" fontId="13" fillId="3" borderId="11" xfId="0" applyNumberFormat="1" applyFont="1" applyFill="1" applyBorder="1" applyAlignment="1">
      <alignment horizontal="center"/>
    </xf>
    <xf numFmtId="1" fontId="13" fillId="3" borderId="14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left" vertical="center"/>
    </xf>
    <xf numFmtId="1" fontId="13" fillId="0" borderId="25" xfId="0" applyNumberFormat="1" applyFont="1" applyFill="1" applyBorder="1" applyAlignment="1">
      <alignment horizontal="left" vertical="center"/>
    </xf>
    <xf numFmtId="1" fontId="13" fillId="0" borderId="32" xfId="0" applyNumberFormat="1" applyFont="1" applyFill="1" applyBorder="1" applyAlignment="1">
      <alignment horizontal="left" vertical="center"/>
    </xf>
    <xf numFmtId="1" fontId="20" fillId="0" borderId="25" xfId="0" applyNumberFormat="1" applyFont="1" applyFill="1" applyBorder="1" applyAlignment="1">
      <alignment horizontal="left" vertical="center"/>
    </xf>
    <xf numFmtId="1" fontId="3" fillId="3" borderId="47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39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/>
    </xf>
    <xf numFmtId="1" fontId="11" fillId="3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2" fillId="3" borderId="14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3" fillId="3" borderId="57" xfId="0" applyNumberFormat="1" applyFont="1" applyFill="1" applyBorder="1" applyAlignment="1">
      <alignment horizontal="center" vertical="center"/>
    </xf>
    <xf numFmtId="1" fontId="8" fillId="3" borderId="50" xfId="0" applyNumberFormat="1" applyFont="1" applyFill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1" fontId="24" fillId="0" borderId="49" xfId="0" applyNumberFormat="1" applyFont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1" fontId="7" fillId="3" borderId="54" xfId="0" applyNumberFormat="1" applyFont="1" applyFill="1" applyBorder="1" applyAlignment="1">
      <alignment horizontal="center" vertical="center"/>
    </xf>
    <xf numFmtId="1" fontId="1" fillId="3" borderId="27" xfId="0" applyNumberFormat="1" applyFont="1" applyFill="1" applyBorder="1" applyAlignment="1">
      <alignment horizontal="center" vertical="center"/>
    </xf>
    <xf numFmtId="1" fontId="7" fillId="3" borderId="56" xfId="0" applyNumberFormat="1" applyFont="1" applyFill="1" applyBorder="1" applyAlignment="1">
      <alignment horizontal="center" vertical="center"/>
    </xf>
    <xf numFmtId="1" fontId="1" fillId="3" borderId="47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17" fillId="4" borderId="51" xfId="0" applyNumberFormat="1" applyFont="1" applyFill="1" applyBorder="1" applyAlignment="1">
      <alignment horizontal="left" vertical="center" wrapText="1"/>
    </xf>
    <xf numFmtId="1" fontId="15" fillId="0" borderId="32" xfId="0" applyNumberFormat="1" applyFont="1" applyFill="1" applyBorder="1" applyAlignment="1">
      <alignment horizontal="left" vertical="center" wrapText="1"/>
    </xf>
    <xf numFmtId="1" fontId="20" fillId="0" borderId="32" xfId="0" applyNumberFormat="1" applyFont="1" applyFill="1" applyBorder="1" applyAlignment="1">
      <alignment horizontal="left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1" fontId="17" fillId="3" borderId="39" xfId="0" applyNumberFormat="1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left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1" fillId="3" borderId="60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3" fillId="3" borderId="6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 wrapText="1"/>
    </xf>
    <xf numFmtId="1" fontId="13" fillId="3" borderId="60" xfId="0" applyNumberFormat="1" applyFont="1" applyFill="1" applyBorder="1" applyAlignment="1">
      <alignment horizontal="center" vertical="center" wrapText="1"/>
    </xf>
    <xf numFmtId="1" fontId="13" fillId="3" borderId="60" xfId="0" applyNumberFormat="1" applyFont="1" applyFill="1" applyBorder="1" applyAlignment="1">
      <alignment horizontal="center"/>
    </xf>
    <xf numFmtId="1" fontId="13" fillId="3" borderId="13" xfId="0" applyNumberFormat="1" applyFont="1" applyFill="1" applyBorder="1" applyAlignment="1">
      <alignment horizontal="center"/>
    </xf>
    <xf numFmtId="1" fontId="13" fillId="0" borderId="33" xfId="0" applyNumberFormat="1" applyFont="1" applyFill="1" applyBorder="1" applyAlignment="1">
      <alignment horizontal="left" vertical="center"/>
    </xf>
    <xf numFmtId="0" fontId="38" fillId="0" borderId="22" xfId="0" applyFont="1" applyBorder="1" applyAlignment="1">
      <alignment horizontal="center" vertical="center" wrapText="1"/>
    </xf>
    <xf numFmtId="49" fontId="38" fillId="0" borderId="31" xfId="0" applyNumberFormat="1" applyFont="1" applyFill="1" applyBorder="1" applyAlignment="1">
      <alignment horizontal="center" vertical="center"/>
    </xf>
    <xf numFmtId="1" fontId="11" fillId="3" borderId="55" xfId="0" applyNumberFormat="1" applyFont="1" applyFill="1" applyBorder="1" applyAlignment="1">
      <alignment horizontal="center"/>
    </xf>
    <xf numFmtId="1" fontId="11" fillId="3" borderId="24" xfId="0" applyNumberFormat="1" applyFont="1" applyFill="1" applyBorder="1" applyAlignment="1">
      <alignment horizontal="center"/>
    </xf>
    <xf numFmtId="1" fontId="38" fillId="3" borderId="22" xfId="0" applyNumberFormat="1" applyFont="1" applyFill="1" applyBorder="1" applyAlignment="1">
      <alignment horizontal="center" vertical="center" wrapText="1"/>
    </xf>
    <xf numFmtId="1" fontId="38" fillId="3" borderId="55" xfId="0" applyNumberFormat="1" applyFont="1" applyFill="1" applyBorder="1" applyAlignment="1">
      <alignment horizontal="center" vertical="center" wrapText="1"/>
    </xf>
    <xf numFmtId="1" fontId="38" fillId="3" borderId="55" xfId="0" applyNumberFormat="1" applyFont="1" applyFill="1" applyBorder="1" applyAlignment="1">
      <alignment horizontal="center"/>
    </xf>
    <xf numFmtId="1" fontId="38" fillId="3" borderId="24" xfId="0" applyNumberFormat="1" applyFont="1" applyFill="1" applyBorder="1" applyAlignment="1">
      <alignment horizontal="center"/>
    </xf>
    <xf numFmtId="1" fontId="38" fillId="0" borderId="31" xfId="0" applyNumberFormat="1" applyFont="1" applyFill="1" applyBorder="1" applyAlignment="1">
      <alignment horizontal="left" vertical="center"/>
    </xf>
    <xf numFmtId="1" fontId="3" fillId="3" borderId="43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 wrapText="1"/>
    </xf>
    <xf numFmtId="1" fontId="13" fillId="3" borderId="55" xfId="0" applyNumberFormat="1" applyFont="1" applyFill="1" applyBorder="1" applyAlignment="1">
      <alignment horizontal="center" vertical="center" wrapText="1"/>
    </xf>
    <xf numFmtId="1" fontId="13" fillId="3" borderId="55" xfId="0" applyNumberFormat="1" applyFont="1" applyFill="1" applyBorder="1" applyAlignment="1">
      <alignment horizontal="center"/>
    </xf>
    <xf numFmtId="1" fontId="13" fillId="3" borderId="24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>
      <alignment horizontal="left" vertical="center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1" fontId="1" fillId="4" borderId="58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5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57" xfId="0" applyNumberFormat="1" applyFont="1" applyFill="1" applyBorder="1" applyAlignment="1">
      <alignment horizontal="center" vertical="center" wrapText="1"/>
    </xf>
    <xf numFmtId="1" fontId="3" fillId="3" borderId="50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 wrapText="1"/>
    </xf>
    <xf numFmtId="1" fontId="15" fillId="0" borderId="32" xfId="0" applyNumberFormat="1" applyFont="1" applyBorder="1" applyAlignment="1">
      <alignment horizontal="center" vertical="center" wrapText="1"/>
    </xf>
    <xf numFmtId="1" fontId="24" fillId="0" borderId="32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wrapText="1"/>
    </xf>
    <xf numFmtId="49" fontId="24" fillId="0" borderId="49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3" borderId="57" xfId="0" applyNumberFormat="1" applyFont="1" applyFill="1" applyBorder="1" applyAlignment="1">
      <alignment horizontal="center"/>
    </xf>
    <xf numFmtId="1" fontId="11" fillId="3" borderId="50" xfId="0" applyNumberFormat="1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 vertical="center" wrapText="1"/>
    </xf>
    <xf numFmtId="1" fontId="13" fillId="3" borderId="57" xfId="0" applyNumberFormat="1" applyFont="1" applyFill="1" applyBorder="1" applyAlignment="1">
      <alignment horizontal="center" vertical="center" wrapText="1"/>
    </xf>
    <xf numFmtId="1" fontId="13" fillId="3" borderId="57" xfId="0" applyNumberFormat="1" applyFont="1" applyFill="1" applyBorder="1" applyAlignment="1">
      <alignment horizontal="center"/>
    </xf>
    <xf numFmtId="1" fontId="13" fillId="3" borderId="50" xfId="0" applyNumberFormat="1" applyFont="1" applyFill="1" applyBorder="1" applyAlignment="1">
      <alignment horizontal="center"/>
    </xf>
    <xf numFmtId="1" fontId="13" fillId="0" borderId="49" xfId="0" applyNumberFormat="1" applyFont="1" applyFill="1" applyBorder="1" applyAlignment="1">
      <alignment horizontal="left" vertical="center"/>
    </xf>
    <xf numFmtId="1" fontId="3" fillId="3" borderId="48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1" fontId="15" fillId="0" borderId="49" xfId="0" applyNumberFormat="1" applyFont="1" applyBorder="1" applyAlignment="1">
      <alignment horizontal="center" vertical="center" wrapText="1"/>
    </xf>
    <xf numFmtId="1" fontId="24" fillId="0" borderId="49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3" borderId="34" xfId="0" applyNumberFormat="1" applyFont="1" applyFill="1" applyBorder="1" applyAlignment="1">
      <alignment vertical="center" wrapText="1"/>
    </xf>
    <xf numFmtId="49" fontId="20" fillId="3" borderId="69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3" borderId="40" xfId="0" applyFont="1" applyFill="1" applyBorder="1" applyAlignment="1">
      <alignment wrapText="1"/>
    </xf>
    <xf numFmtId="0" fontId="18" fillId="3" borderId="40" xfId="0" applyFont="1" applyFill="1" applyBorder="1" applyAlignment="1">
      <alignment vertical="center" wrapText="1"/>
    </xf>
    <xf numFmtId="0" fontId="18" fillId="0" borderId="40" xfId="0" applyFont="1" applyBorder="1" applyAlignment="1">
      <alignment vertical="top" wrapText="1"/>
    </xf>
    <xf numFmtId="0" fontId="18" fillId="0" borderId="47" xfId="0" applyFont="1" applyBorder="1" applyAlignment="1">
      <alignment wrapText="1"/>
    </xf>
    <xf numFmtId="0" fontId="18" fillId="0" borderId="48" xfId="0" applyFont="1" applyBorder="1" applyAlignment="1">
      <alignment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1" fillId="4" borderId="0" xfId="1" applyFont="1" applyFill="1"/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/>
    <xf numFmtId="1" fontId="1" fillId="3" borderId="39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1" fontId="24" fillId="0" borderId="37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7" fillId="3" borderId="60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37" fillId="3" borderId="39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 wrapText="1"/>
    </xf>
    <xf numFmtId="1" fontId="1" fillId="4" borderId="45" xfId="0" applyNumberFormat="1" applyFont="1" applyFill="1" applyBorder="1" applyAlignment="1">
      <alignment horizontal="center" vertical="center"/>
    </xf>
    <xf numFmtId="0" fontId="12" fillId="0" borderId="43" xfId="0" applyFont="1" applyBorder="1"/>
    <xf numFmtId="1" fontId="3" fillId="3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 wrapText="1"/>
    </xf>
    <xf numFmtId="1" fontId="7" fillId="3" borderId="20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3" borderId="47" xfId="0" applyNumberFormat="1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" fontId="6" fillId="4" borderId="18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1" fontId="6" fillId="4" borderId="64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70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/>
    <xf numFmtId="49" fontId="20" fillId="4" borderId="2" xfId="0" applyNumberFormat="1" applyFont="1" applyFill="1" applyBorder="1" applyAlignment="1">
      <alignment horizontal="center" vertical="center"/>
    </xf>
    <xf numFmtId="1" fontId="17" fillId="4" borderId="64" xfId="0" applyNumberFormat="1" applyFont="1" applyFill="1" applyBorder="1" applyAlignment="1">
      <alignment horizontal="left" vertical="center" wrapText="1"/>
    </xf>
    <xf numFmtId="1" fontId="19" fillId="4" borderId="64" xfId="0" applyNumberFormat="1" applyFont="1" applyFill="1" applyBorder="1" applyAlignment="1">
      <alignment horizontal="left" vertical="center" wrapText="1"/>
    </xf>
    <xf numFmtId="1" fontId="17" fillId="0" borderId="35" xfId="0" applyNumberFormat="1" applyFont="1" applyFill="1" applyBorder="1"/>
    <xf numFmtId="1" fontId="17" fillId="0" borderId="34" xfId="0" applyNumberFormat="1" applyFont="1" applyFill="1" applyBorder="1" applyAlignment="1">
      <alignment horizontal="left" vertical="center"/>
    </xf>
    <xf numFmtId="1" fontId="15" fillId="0" borderId="34" xfId="0" applyNumberFormat="1" applyFont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 vertical="center" wrapText="1"/>
    </xf>
    <xf numFmtId="1" fontId="17" fillId="0" borderId="34" xfId="0" applyNumberFormat="1" applyFont="1" applyBorder="1" applyAlignment="1">
      <alignment horizontal="center"/>
    </xf>
    <xf numFmtId="1" fontId="3" fillId="3" borderId="60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" fontId="8" fillId="3" borderId="34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/>
    <xf numFmtId="1" fontId="24" fillId="0" borderId="34" xfId="0" applyNumberFormat="1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1" fontId="25" fillId="0" borderId="34" xfId="0" applyNumberFormat="1" applyFont="1" applyBorder="1" applyAlignment="1">
      <alignment horizontal="center" vertical="center"/>
    </xf>
    <xf numFmtId="1" fontId="25" fillId="0" borderId="34" xfId="0" applyNumberFormat="1" applyFont="1" applyFill="1" applyBorder="1" applyAlignment="1">
      <alignment horizontal="center" vertical="center" wrapText="1"/>
    </xf>
    <xf numFmtId="1" fontId="24" fillId="0" borderId="34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60" xfId="0" applyNumberFormat="1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3" borderId="40" xfId="0" applyNumberFormat="1" applyFont="1" applyFill="1" applyBorder="1" applyAlignment="1">
      <alignment horizontal="center" vertical="center"/>
    </xf>
    <xf numFmtId="1" fontId="11" fillId="3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/>
    </xf>
    <xf numFmtId="1" fontId="12" fillId="0" borderId="40" xfId="0" applyNumberFormat="1" applyFont="1" applyBorder="1" applyAlignment="1">
      <alignment horizontal="center"/>
    </xf>
    <xf numFmtId="1" fontId="12" fillId="0" borderId="47" xfId="0" applyNumberFormat="1" applyFont="1" applyBorder="1" applyAlignment="1">
      <alignment horizontal="center" vertical="center"/>
    </xf>
    <xf numFmtId="1" fontId="8" fillId="3" borderId="61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60" xfId="0" applyNumberFormat="1" applyFont="1" applyFill="1" applyBorder="1" applyAlignment="1">
      <alignment horizontal="center" vertical="center"/>
    </xf>
    <xf numFmtId="1" fontId="3" fillId="3" borderId="61" xfId="0" applyNumberFormat="1" applyFont="1" applyFill="1" applyBorder="1" applyAlignment="1">
      <alignment horizontal="center" vertical="center"/>
    </xf>
    <xf numFmtId="1" fontId="3" fillId="3" borderId="47" xfId="0" applyNumberFormat="1" applyFont="1" applyFill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 wrapText="1"/>
    </xf>
    <xf numFmtId="1" fontId="37" fillId="0" borderId="39" xfId="0" applyNumberFormat="1" applyFont="1" applyFill="1" applyBorder="1" applyAlignment="1">
      <alignment horizontal="center" vertical="center" wrapText="1"/>
    </xf>
    <xf numFmtId="1" fontId="36" fillId="0" borderId="39" xfId="0" applyNumberFormat="1" applyFont="1" applyFill="1" applyBorder="1" applyAlignment="1">
      <alignment horizontal="center" vertical="center" wrapText="1"/>
    </xf>
    <xf numFmtId="49" fontId="20" fillId="3" borderId="34" xfId="0" applyNumberFormat="1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" fontId="23" fillId="0" borderId="34" xfId="0" applyNumberFormat="1" applyFont="1" applyFill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left" vertical="center" wrapText="1"/>
    </xf>
    <xf numFmtId="1" fontId="17" fillId="0" borderId="34" xfId="0" applyNumberFormat="1" applyFont="1" applyBorder="1" applyAlignment="1">
      <alignment horizontal="left" vertical="center" wrapText="1"/>
    </xf>
    <xf numFmtId="1" fontId="1" fillId="0" borderId="35" xfId="0" applyNumberFormat="1" applyFont="1" applyBorder="1" applyAlignment="1">
      <alignment horizontal="left" vertical="center" wrapText="1"/>
    </xf>
    <xf numFmtId="1" fontId="4" fillId="0" borderId="34" xfId="0" applyNumberFormat="1" applyFont="1" applyBorder="1" applyAlignment="1">
      <alignment horizontal="left" vertical="center" wrapText="1"/>
    </xf>
    <xf numFmtId="1" fontId="19" fillId="0" borderId="34" xfId="0" applyNumberFormat="1" applyFont="1" applyBorder="1" applyAlignment="1">
      <alignment horizontal="left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60" xfId="0" applyNumberFormat="1" applyFont="1" applyFill="1" applyBorder="1" applyAlignment="1">
      <alignment horizontal="center" vertical="center" wrapText="1"/>
    </xf>
    <xf numFmtId="1" fontId="32" fillId="0" borderId="40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7" fillId="3" borderId="60" xfId="0" applyNumberFormat="1" applyFont="1" applyFill="1" applyBorder="1" applyAlignment="1">
      <alignment horizontal="center" vertical="center"/>
    </xf>
    <xf numFmtId="1" fontId="7" fillId="3" borderId="6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  <xf numFmtId="1" fontId="4" fillId="4" borderId="59" xfId="0" applyNumberFormat="1" applyFont="1" applyFill="1" applyBorder="1" applyAlignment="1">
      <alignment horizontal="center" vertical="center" wrapText="1"/>
    </xf>
    <xf numFmtId="1" fontId="35" fillId="3" borderId="39" xfId="0" applyNumberFormat="1" applyFont="1" applyFill="1" applyBorder="1" applyAlignment="1">
      <alignment vertical="center" wrapText="1"/>
    </xf>
    <xf numFmtId="1" fontId="35" fillId="3" borderId="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1" fontId="12" fillId="3" borderId="13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 wrapText="1"/>
    </xf>
    <xf numFmtId="1" fontId="15" fillId="0" borderId="33" xfId="0" applyNumberFormat="1" applyFont="1" applyFill="1" applyBorder="1" applyAlignment="1">
      <alignment horizontal="center" vertical="center" wrapText="1"/>
    </xf>
    <xf numFmtId="1" fontId="24" fillId="0" borderId="3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1" fontId="36" fillId="0" borderId="39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6" fillId="4" borderId="26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 wrapText="1"/>
    </xf>
    <xf numFmtId="49" fontId="20" fillId="0" borderId="37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48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 wrapText="1"/>
    </xf>
    <xf numFmtId="1" fontId="7" fillId="3" borderId="29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35" fillId="3" borderId="3" xfId="0" applyNumberFormat="1" applyFont="1" applyFill="1" applyBorder="1" applyAlignment="1">
      <alignment horizontal="center" vertical="center"/>
    </xf>
    <xf numFmtId="1" fontId="35" fillId="3" borderId="39" xfId="0" applyNumberFormat="1" applyFont="1" applyFill="1" applyBorder="1" applyAlignment="1">
      <alignment horizontal="center" vertical="center"/>
    </xf>
    <xf numFmtId="1" fontId="35" fillId="3" borderId="40" xfId="0" applyNumberFormat="1" applyFont="1" applyFill="1" applyBorder="1" applyAlignment="1">
      <alignment horizontal="center" vertical="center"/>
    </xf>
    <xf numFmtId="1" fontId="35" fillId="3" borderId="27" xfId="0" applyNumberFormat="1" applyFont="1" applyFill="1" applyBorder="1" applyAlignment="1">
      <alignment horizontal="center" vertical="center"/>
    </xf>
    <xf numFmtId="1" fontId="39" fillId="0" borderId="34" xfId="0" applyNumberFormat="1" applyFont="1" applyFill="1" applyBorder="1" applyAlignment="1">
      <alignment horizontal="center" vertical="center" wrapText="1"/>
    </xf>
    <xf numFmtId="49" fontId="19" fillId="3" borderId="37" xfId="0" applyNumberFormat="1" applyFont="1" applyFill="1" applyBorder="1" applyAlignment="1">
      <alignment horizontal="center" vertical="center" wrapText="1"/>
    </xf>
    <xf numFmtId="1" fontId="8" fillId="3" borderId="29" xfId="0" applyNumberFormat="1" applyFont="1" applyFill="1" applyBorder="1" applyAlignment="1">
      <alignment horizontal="center" vertical="center" wrapText="1"/>
    </xf>
    <xf numFmtId="1" fontId="8" fillId="3" borderId="37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48" xfId="0" applyNumberFormat="1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4" borderId="5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 wrapText="1"/>
    </xf>
    <xf numFmtId="1" fontId="10" fillId="3" borderId="60" xfId="0" applyNumberFormat="1" applyFont="1" applyFill="1" applyBorder="1" applyAlignment="1">
      <alignment horizontal="center" vertical="center" wrapText="1"/>
    </xf>
    <xf numFmtId="1" fontId="10" fillId="3" borderId="13" xfId="0" applyNumberFormat="1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" fontId="10" fillId="3" borderId="60" xfId="0" applyNumberFormat="1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7" fillId="4" borderId="66" xfId="0" applyNumberFormat="1" applyFont="1" applyFill="1" applyBorder="1" applyAlignment="1">
      <alignment horizontal="left" vertical="center" wrapText="1"/>
    </xf>
    <xf numFmtId="1" fontId="10" fillId="3" borderId="28" xfId="0" applyNumberFormat="1" applyFont="1" applyFill="1" applyBorder="1" applyAlignment="1">
      <alignment horizontal="center" vertical="center"/>
    </xf>
    <xf numFmtId="1" fontId="10" fillId="3" borderId="61" xfId="0" applyNumberFormat="1" applyFont="1" applyFill="1" applyBorder="1" applyAlignment="1">
      <alignment horizontal="center" vertical="center"/>
    </xf>
    <xf numFmtId="1" fontId="19" fillId="4" borderId="66" xfId="0" applyNumberFormat="1" applyFont="1" applyFill="1" applyBorder="1" applyAlignment="1">
      <alignment horizontal="left" vertical="center" wrapText="1"/>
    </xf>
    <xf numFmtId="1" fontId="19" fillId="0" borderId="30" xfId="0" applyNumberFormat="1" applyFont="1" applyFill="1" applyBorder="1" applyAlignment="1">
      <alignment horizontal="left" vertical="center" wrapText="1"/>
    </xf>
    <xf numFmtId="1" fontId="19" fillId="0" borderId="15" xfId="0" applyNumberFormat="1" applyFont="1" applyFill="1" applyBorder="1" applyAlignment="1">
      <alignment horizontal="left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34" fillId="0" borderId="48" xfId="0" applyFont="1" applyBorder="1" applyAlignment="1">
      <alignment wrapText="1"/>
    </xf>
    <xf numFmtId="1" fontId="7" fillId="0" borderId="9" xfId="0" applyNumberFormat="1" applyFont="1" applyFill="1" applyBorder="1" applyAlignment="1">
      <alignment horizontal="center" vertical="center"/>
    </xf>
    <xf numFmtId="1" fontId="1" fillId="4" borderId="26" xfId="0" applyNumberFormat="1" applyFont="1" applyFill="1" applyBorder="1" applyAlignment="1">
      <alignment horizontal="center" vertical="center"/>
    </xf>
    <xf numFmtId="1" fontId="1" fillId="4" borderId="70" xfId="0" applyNumberFormat="1" applyFont="1" applyFill="1" applyBorder="1" applyAlignment="1">
      <alignment horizontal="center" vertical="center"/>
    </xf>
    <xf numFmtId="1" fontId="37" fillId="3" borderId="3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/>
    </xf>
    <xf numFmtId="1" fontId="7" fillId="3" borderId="61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 wrapText="1"/>
    </xf>
    <xf numFmtId="1" fontId="1" fillId="3" borderId="57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60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3" borderId="28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 vertical="center"/>
    </xf>
    <xf numFmtId="1" fontId="24" fillId="0" borderId="4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49" fontId="20" fillId="0" borderId="31" xfId="0" applyNumberFormat="1" applyFont="1" applyFill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/>
    </xf>
    <xf numFmtId="1" fontId="1" fillId="3" borderId="55" xfId="0" applyNumberFormat="1" applyFont="1" applyFill="1" applyBorder="1" applyAlignment="1">
      <alignment horizontal="center" vertical="center"/>
    </xf>
    <xf numFmtId="1" fontId="1" fillId="3" borderId="43" xfId="0" applyNumberFormat="1" applyFont="1" applyFill="1" applyBorder="1" applyAlignment="1">
      <alignment horizontal="center" vertical="center"/>
    </xf>
    <xf numFmtId="1" fontId="3" fillId="3" borderId="55" xfId="0" applyNumberFormat="1" applyFont="1" applyFill="1" applyBorder="1" applyAlignment="1">
      <alignment horizontal="center" vertical="center"/>
    </xf>
    <xf numFmtId="1" fontId="8" fillId="3" borderId="43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 wrapText="1"/>
    </xf>
    <xf numFmtId="1" fontId="13" fillId="3" borderId="43" xfId="0" applyNumberFormat="1" applyFont="1" applyFill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15" fillId="0" borderId="69" xfId="0" applyNumberFormat="1" applyFont="1" applyBorder="1" applyAlignment="1">
      <alignment horizontal="center" vertical="center"/>
    </xf>
    <xf numFmtId="1" fontId="12" fillId="3" borderId="21" xfId="0" applyNumberFormat="1" applyFont="1" applyFill="1" applyBorder="1" applyAlignment="1">
      <alignment horizontal="center" vertical="center" wrapText="1"/>
    </xf>
    <xf numFmtId="1" fontId="24" fillId="0" borderId="6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1" fontId="7" fillId="3" borderId="16" xfId="0" applyNumberFormat="1" applyFont="1" applyFill="1" applyBorder="1" applyAlignment="1">
      <alignment horizontal="center" vertical="center"/>
    </xf>
    <xf numFmtId="1" fontId="7" fillId="3" borderId="17" xfId="0" applyNumberFormat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/>
    </xf>
    <xf numFmtId="1" fontId="8" fillId="3" borderId="55" xfId="0" applyNumberFormat="1" applyFont="1" applyFill="1" applyBorder="1" applyAlignment="1">
      <alignment horizontal="center" vertical="center"/>
    </xf>
    <xf numFmtId="1" fontId="8" fillId="3" borderId="24" xfId="0" applyNumberFormat="1" applyFont="1" applyFill="1" applyBorder="1" applyAlignment="1">
      <alignment horizontal="center" vertical="center"/>
    </xf>
    <xf numFmtId="1" fontId="7" fillId="3" borderId="62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0" fontId="12" fillId="0" borderId="48" xfId="0" applyFont="1" applyFill="1" applyBorder="1" applyAlignment="1">
      <alignment horizontal="left" vertical="center" wrapText="1"/>
    </xf>
    <xf numFmtId="49" fontId="20" fillId="0" borderId="49" xfId="0" applyNumberFormat="1" applyFont="1" applyFill="1" applyBorder="1" applyAlignment="1">
      <alignment horizontal="center" vertical="center"/>
    </xf>
    <xf numFmtId="1" fontId="7" fillId="3" borderId="50" xfId="0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60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 wrapText="1"/>
    </xf>
    <xf numFmtId="1" fontId="18" fillId="0" borderId="28" xfId="0" applyNumberFormat="1" applyFont="1" applyFill="1" applyBorder="1" applyAlignment="1">
      <alignment horizontal="center" vertical="center" wrapText="1"/>
    </xf>
    <xf numFmtId="1" fontId="8" fillId="3" borderId="54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left" vertical="center" wrapText="1"/>
    </xf>
    <xf numFmtId="1" fontId="15" fillId="0" borderId="69" xfId="0" applyNumberFormat="1" applyFont="1" applyFill="1" applyBorder="1" applyAlignment="1">
      <alignment horizontal="center" vertical="center" wrapText="1"/>
    </xf>
    <xf numFmtId="1" fontId="24" fillId="0" borderId="69" xfId="0" applyNumberFormat="1" applyFont="1" applyFill="1" applyBorder="1" applyAlignment="1">
      <alignment horizontal="center" vertical="center" wrapText="1"/>
    </xf>
    <xf numFmtId="1" fontId="1" fillId="4" borderId="64" xfId="0" applyNumberFormat="1" applyFont="1" applyFill="1" applyBorder="1" applyAlignment="1">
      <alignment horizontal="center" vertical="center"/>
    </xf>
    <xf numFmtId="1" fontId="36" fillId="0" borderId="57" xfId="0" applyNumberFormat="1" applyFont="1" applyFill="1" applyBorder="1" applyAlignment="1">
      <alignment horizontal="center" vertical="center" wrapText="1"/>
    </xf>
    <xf numFmtId="1" fontId="1" fillId="3" borderId="50" xfId="0" applyNumberFormat="1" applyFont="1" applyFill="1" applyBorder="1" applyAlignment="1">
      <alignment horizontal="center" vertical="center" wrapText="1"/>
    </xf>
    <xf numFmtId="1" fontId="9" fillId="3" borderId="22" xfId="0" applyNumberFormat="1" applyFont="1" applyFill="1" applyBorder="1" applyAlignment="1">
      <alignment horizontal="center" vertical="center"/>
    </xf>
    <xf numFmtId="1" fontId="9" fillId="3" borderId="55" xfId="0" applyNumberFormat="1" applyFont="1" applyFill="1" applyBorder="1" applyAlignment="1">
      <alignment horizontal="center" vertical="center"/>
    </xf>
    <xf numFmtId="1" fontId="9" fillId="3" borderId="43" xfId="0" applyNumberFormat="1" applyFont="1" applyFill="1" applyBorder="1" applyAlignment="1">
      <alignment horizontal="center" vertical="center"/>
    </xf>
    <xf numFmtId="1" fontId="6" fillId="3" borderId="54" xfId="0" applyNumberFormat="1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 wrapText="1"/>
    </xf>
    <xf numFmtId="1" fontId="36" fillId="3" borderId="6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49" fontId="21" fillId="0" borderId="65" xfId="0" applyNumberFormat="1" applyFont="1" applyFill="1" applyBorder="1" applyAlignment="1">
      <alignment horizontal="center" vertical="center" wrapText="1"/>
    </xf>
    <xf numFmtId="1" fontId="12" fillId="0" borderId="37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0" fillId="0" borderId="68" xfId="0" applyNumberFormat="1" applyFont="1" applyFill="1" applyBorder="1" applyAlignment="1">
      <alignment horizontal="center" vertical="center" wrapText="1"/>
    </xf>
    <xf numFmtId="1" fontId="7" fillId="3" borderId="62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0" fillId="3" borderId="18" xfId="0" applyNumberFormat="1" applyFill="1" applyBorder="1"/>
    <xf numFmtId="1" fontId="0" fillId="3" borderId="13" xfId="0" applyNumberFormat="1" applyFill="1" applyBorder="1"/>
    <xf numFmtId="1" fontId="15" fillId="3" borderId="33" xfId="0" applyNumberFormat="1" applyFont="1" applyFill="1" applyBorder="1" applyAlignment="1">
      <alignment horizontal="center" vertical="center" wrapText="1"/>
    </xf>
    <xf numFmtId="1" fontId="0" fillId="3" borderId="61" xfId="0" applyNumberFormat="1" applyFill="1" applyBorder="1"/>
    <xf numFmtId="1" fontId="12" fillId="3" borderId="44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" fontId="9" fillId="3" borderId="54" xfId="0" applyNumberFormat="1" applyFont="1" applyFill="1" applyBorder="1" applyAlignment="1">
      <alignment horizontal="center" vertical="center" wrapText="1"/>
    </xf>
    <xf numFmtId="1" fontId="9" fillId="3" borderId="22" xfId="0" applyNumberFormat="1" applyFont="1" applyFill="1" applyBorder="1" applyAlignment="1">
      <alignment horizontal="center" vertical="center" wrapText="1"/>
    </xf>
    <xf numFmtId="1" fontId="9" fillId="3" borderId="55" xfId="0" applyNumberFormat="1" applyFont="1" applyFill="1" applyBorder="1" applyAlignment="1">
      <alignment horizontal="center" vertical="center" wrapText="1"/>
    </xf>
    <xf numFmtId="1" fontId="9" fillId="3" borderId="24" xfId="0" applyNumberFormat="1" applyFont="1" applyFill="1" applyBorder="1" applyAlignment="1">
      <alignment horizontal="center" vertical="center" wrapText="1"/>
    </xf>
    <xf numFmtId="1" fontId="17" fillId="3" borderId="31" xfId="0" applyNumberFormat="1" applyFont="1" applyFill="1" applyBorder="1" applyAlignment="1">
      <alignment horizontal="center" vertical="center" wrapText="1"/>
    </xf>
    <xf numFmtId="1" fontId="9" fillId="3" borderId="43" xfId="0" applyNumberFormat="1" applyFont="1" applyFill="1" applyBorder="1" applyAlignment="1">
      <alignment horizontal="center" vertical="center" wrapText="1"/>
    </xf>
    <xf numFmtId="1" fontId="9" fillId="3" borderId="35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15" fillId="3" borderId="32" xfId="0" applyNumberFormat="1" applyFont="1" applyFill="1" applyBorder="1" applyAlignment="1">
      <alignment horizontal="center" vertical="center" wrapText="1"/>
    </xf>
    <xf numFmtId="1" fontId="12" fillId="3" borderId="6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9" fontId="20" fillId="0" borderId="46" xfId="0" applyNumberFormat="1" applyFont="1" applyFill="1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49" fontId="20" fillId="0" borderId="72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49" fontId="19" fillId="0" borderId="71" xfId="0" applyNumberFormat="1" applyFont="1" applyFill="1" applyBorder="1" applyAlignment="1">
      <alignment horizontal="center" vertical="center" wrapText="1"/>
    </xf>
    <xf numFmtId="1" fontId="8" fillId="0" borderId="54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wrapText="1"/>
    </xf>
    <xf numFmtId="49" fontId="20" fillId="0" borderId="73" xfId="0" applyNumberFormat="1" applyFont="1" applyFill="1" applyBorder="1" applyAlignment="1">
      <alignment horizontal="center" vertical="center" wrapText="1"/>
    </xf>
    <xf numFmtId="1" fontId="8" fillId="3" borderId="55" xfId="0" applyNumberFormat="1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 wrapText="1"/>
    </xf>
    <xf numFmtId="1" fontId="8" fillId="3" borderId="43" xfId="0" applyNumberFormat="1" applyFont="1" applyFill="1" applyBorder="1" applyAlignment="1">
      <alignment horizontal="center" vertical="center" wrapText="1"/>
    </xf>
    <xf numFmtId="1" fontId="8" fillId="3" borderId="54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1" fontId="17" fillId="0" borderId="33" xfId="0" applyNumberFormat="1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horizontal="center" vertical="center" wrapText="1"/>
    </xf>
    <xf numFmtId="49" fontId="20" fillId="0" borderId="73" xfId="0" applyNumberFormat="1" applyFont="1" applyBorder="1" applyAlignment="1">
      <alignment horizontal="center" vertical="center" wrapText="1"/>
    </xf>
    <xf numFmtId="1" fontId="7" fillId="3" borderId="56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6" fillId="3" borderId="47" xfId="0" applyNumberFormat="1" applyFont="1" applyFill="1" applyBorder="1" applyAlignment="1">
      <alignment horizontal="center" vertical="center" wrapText="1"/>
    </xf>
    <xf numFmtId="1" fontId="15" fillId="0" borderId="69" xfId="0" applyNumberFormat="1" applyFont="1" applyBorder="1" applyAlignment="1">
      <alignment horizontal="center" vertical="center" wrapText="1"/>
    </xf>
    <xf numFmtId="1" fontId="24" fillId="0" borderId="69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 wrapText="1"/>
    </xf>
    <xf numFmtId="1" fontId="25" fillId="0" borderId="3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1" fillId="3" borderId="60" xfId="0" applyNumberFormat="1" applyFont="1" applyFill="1" applyBorder="1" applyAlignment="1">
      <alignment horizontal="center" vertical="center" wrapText="1"/>
    </xf>
    <xf numFmtId="1" fontId="7" fillId="3" borderId="60" xfId="0" applyNumberFormat="1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7" fillId="3" borderId="29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1" fillId="4" borderId="23" xfId="0" applyNumberFormat="1" applyFont="1" applyFill="1" applyBorder="1" applyAlignment="1">
      <alignment horizontal="center" vertical="center"/>
    </xf>
    <xf numFmtId="1" fontId="1" fillId="4" borderId="53" xfId="0" applyNumberFormat="1" applyFont="1" applyFill="1" applyBorder="1" applyAlignment="1">
      <alignment horizontal="center" vertical="center"/>
    </xf>
    <xf numFmtId="1" fontId="1" fillId="4" borderId="52" xfId="0" applyNumberFormat="1" applyFont="1" applyFill="1" applyBorder="1" applyAlignment="1">
      <alignment horizontal="center" vertical="center"/>
    </xf>
    <xf numFmtId="1" fontId="13" fillId="3" borderId="61" xfId="0" applyNumberFormat="1" applyFont="1" applyFill="1" applyBorder="1" applyAlignment="1">
      <alignment horizontal="center" vertical="center" wrapText="1"/>
    </xf>
    <xf numFmtId="1" fontId="1" fillId="3" borderId="6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 wrapText="1"/>
    </xf>
    <xf numFmtId="1" fontId="25" fillId="0" borderId="35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1" fontId="17" fillId="0" borderId="44" xfId="0" applyNumberFormat="1" applyFont="1" applyBorder="1" applyAlignment="1">
      <alignment horizontal="center" vertical="center" wrapText="1"/>
    </xf>
    <xf numFmtId="1" fontId="24" fillId="0" borderId="44" xfId="0" applyNumberFormat="1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" fillId="3" borderId="54" xfId="0" applyNumberFormat="1" applyFont="1" applyFill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1" fontId="25" fillId="0" borderId="35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 wrapText="1"/>
    </xf>
    <xf numFmtId="1" fontId="12" fillId="3" borderId="57" xfId="0" applyNumberFormat="1" applyFont="1" applyFill="1" applyBorder="1" applyAlignment="1">
      <alignment horizontal="center" vertical="center" wrapText="1"/>
    </xf>
    <xf numFmtId="1" fontId="12" fillId="0" borderId="57" xfId="0" applyNumberFormat="1" applyFont="1" applyFill="1" applyBorder="1" applyAlignment="1">
      <alignment horizontal="center" vertical="center"/>
    </xf>
    <xf numFmtId="1" fontId="11" fillId="3" borderId="55" xfId="0" applyNumberFormat="1" applyFont="1" applyFill="1" applyBorder="1" applyAlignment="1">
      <alignment horizontal="center" vertical="center"/>
    </xf>
    <xf numFmtId="1" fontId="11" fillId="3" borderId="43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1" fontId="20" fillId="0" borderId="35" xfId="0" applyNumberFormat="1" applyFont="1" applyFill="1" applyBorder="1" applyAlignment="1">
      <alignment horizontal="left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" fontId="7" fillId="3" borderId="48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49" fontId="20" fillId="0" borderId="44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60" xfId="0" applyNumberFormat="1" applyFont="1" applyFill="1" applyBorder="1" applyAlignment="1">
      <alignment horizontal="center" vertical="center"/>
    </xf>
    <xf numFmtId="1" fontId="7" fillId="3" borderId="61" xfId="0" applyNumberFormat="1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 wrapText="1"/>
    </xf>
    <xf numFmtId="1" fontId="7" fillId="3" borderId="2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/>
    </xf>
    <xf numFmtId="49" fontId="20" fillId="3" borderId="3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0" fillId="0" borderId="49" xfId="0" applyNumberFormat="1" applyFont="1" applyFill="1" applyBorder="1" applyAlignment="1">
      <alignment horizontal="center" vertical="center" wrapText="1"/>
    </xf>
    <xf numFmtId="1" fontId="37" fillId="0" borderId="57" xfId="0" applyNumberFormat="1" applyFont="1" applyFill="1" applyBorder="1" applyAlignment="1">
      <alignment horizontal="center" vertical="center" wrapText="1"/>
    </xf>
    <xf numFmtId="1" fontId="15" fillId="0" borderId="49" xfId="0" applyNumberFormat="1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49" fontId="20" fillId="0" borderId="35" xfId="0" applyNumberFormat="1" applyFont="1" applyFill="1" applyBorder="1" applyAlignment="1">
      <alignment horizontal="center" vertical="center"/>
    </xf>
    <xf numFmtId="1" fontId="19" fillId="0" borderId="54" xfId="0" applyNumberFormat="1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49" fontId="20" fillId="0" borderId="69" xfId="0" applyNumberFormat="1" applyFont="1" applyFill="1" applyBorder="1" applyAlignment="1">
      <alignment horizontal="center" vertical="center"/>
    </xf>
    <xf numFmtId="1" fontId="15" fillId="0" borderId="69" xfId="0" applyNumberFormat="1" applyFont="1" applyFill="1" applyBorder="1" applyAlignment="1">
      <alignment horizontal="left" vertical="center" wrapText="1"/>
    </xf>
    <xf numFmtId="1" fontId="20" fillId="0" borderId="56" xfId="0" applyNumberFormat="1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 wrapText="1"/>
    </xf>
    <xf numFmtId="1" fontId="1" fillId="3" borderId="39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1" fillId="3" borderId="60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 wrapText="1"/>
    </xf>
    <xf numFmtId="1" fontId="7" fillId="3" borderId="61" xfId="0" applyNumberFormat="1" applyFont="1" applyFill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49" fontId="20" fillId="3" borderId="34" xfId="0" applyNumberFormat="1" applyFont="1" applyFill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8" fillId="0" borderId="48" xfId="0" applyFont="1" applyBorder="1" applyAlignment="1">
      <alignment horizontal="left" wrapText="1"/>
    </xf>
    <xf numFmtId="0" fontId="18" fillId="0" borderId="61" xfId="0" applyFont="1" applyBorder="1" applyAlignment="1">
      <alignment horizontal="left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9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left" wrapText="1"/>
    </xf>
    <xf numFmtId="1" fontId="1" fillId="3" borderId="39" xfId="0" applyNumberFormat="1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left" wrapText="1"/>
    </xf>
    <xf numFmtId="1" fontId="36" fillId="0" borderId="3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>
      <alignment horizontal="center" vertical="center" wrapText="1"/>
    </xf>
    <xf numFmtId="1" fontId="15" fillId="0" borderId="49" xfId="0" applyNumberFormat="1" applyFont="1" applyFill="1" applyBorder="1" applyAlignment="1">
      <alignment horizontal="center" vertical="center" wrapText="1"/>
    </xf>
    <xf numFmtId="1" fontId="15" fillId="0" borderId="33" xfId="0" applyNumberFormat="1" applyFont="1" applyFill="1" applyBorder="1" applyAlignment="1">
      <alignment horizontal="center" vertical="center" wrapText="1"/>
    </xf>
    <xf numFmtId="1" fontId="7" fillId="3" borderId="40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61" xfId="0" applyNumberFormat="1" applyFont="1" applyFill="1" applyBorder="1" applyAlignment="1">
      <alignment horizontal="center" vertical="center" wrapText="1"/>
    </xf>
    <xf numFmtId="1" fontId="1" fillId="3" borderId="57" xfId="0" applyNumberFormat="1" applyFont="1" applyFill="1" applyBorder="1" applyAlignment="1">
      <alignment horizontal="center" vertical="center" wrapText="1"/>
    </xf>
    <xf numFmtId="1" fontId="1" fillId="3" borderId="60" xfId="0" applyNumberFormat="1" applyFont="1" applyFill="1" applyBorder="1" applyAlignment="1">
      <alignment horizontal="center" vertical="center" wrapText="1"/>
    </xf>
    <xf numFmtId="1" fontId="7" fillId="3" borderId="48" xfId="0" applyNumberFormat="1" applyFont="1" applyFill="1" applyBorder="1" applyAlignment="1">
      <alignment horizontal="center" vertical="center" wrapText="1"/>
    </xf>
    <xf numFmtId="1" fontId="7" fillId="3" borderId="61" xfId="0" applyNumberFormat="1" applyFont="1" applyFill="1" applyBorder="1" applyAlignment="1">
      <alignment horizontal="center" vertical="center" wrapText="1"/>
    </xf>
    <xf numFmtId="1" fontId="7" fillId="3" borderId="57" xfId="0" applyNumberFormat="1" applyFont="1" applyFill="1" applyBorder="1" applyAlignment="1">
      <alignment horizontal="center" vertical="center"/>
    </xf>
    <xf numFmtId="1" fontId="7" fillId="3" borderId="60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1" fontId="7" fillId="0" borderId="39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29" fillId="3" borderId="0" xfId="0" applyNumberFormat="1" applyFont="1" applyFill="1" applyAlignment="1">
      <alignment horizontal="left" wrapText="1"/>
    </xf>
    <xf numFmtId="0" fontId="4" fillId="0" borderId="67" xfId="0" applyFont="1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66" xfId="0" applyFont="1" applyFill="1" applyBorder="1" applyAlignment="1">
      <alignment horizontal="righ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1" fontId="7" fillId="3" borderId="29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49" fontId="20" fillId="3" borderId="65" xfId="0" applyNumberFormat="1" applyFont="1" applyFill="1" applyBorder="1" applyAlignment="1">
      <alignment horizontal="center" vertical="center" wrapText="1"/>
    </xf>
    <xf numFmtId="49" fontId="20" fillId="3" borderId="68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0" fontId="11" fillId="0" borderId="11" xfId="0" applyFont="1" applyFill="1" applyBorder="1" applyAlignment="1">
      <alignment horizontal="left" vertical="center"/>
    </xf>
    <xf numFmtId="49" fontId="20" fillId="0" borderId="37" xfId="0" applyNumberFormat="1" applyFont="1" applyFill="1" applyBorder="1" applyAlignment="1">
      <alignment horizontal="center" vertical="center"/>
    </xf>
    <xf numFmtId="49" fontId="20" fillId="0" borderId="44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37" fillId="0" borderId="39" xfId="0" applyNumberFormat="1" applyFont="1" applyFill="1" applyBorder="1" applyAlignment="1">
      <alignment horizontal="center" vertical="center"/>
    </xf>
    <xf numFmtId="1" fontId="7" fillId="3" borderId="48" xfId="0" applyNumberFormat="1" applyFont="1" applyFill="1" applyBorder="1" applyAlignment="1">
      <alignment horizontal="center" vertical="center"/>
    </xf>
    <xf numFmtId="1" fontId="7" fillId="3" borderId="61" xfId="0" applyNumberFormat="1" applyFont="1" applyFill="1" applyBorder="1" applyAlignment="1">
      <alignment horizontal="center" vertical="center"/>
    </xf>
    <xf numFmtId="0" fontId="12" fillId="0" borderId="5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1" fontId="24" fillId="0" borderId="3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center" vertical="center"/>
    </xf>
    <xf numFmtId="1" fontId="36" fillId="0" borderId="58" xfId="0" applyNumberFormat="1" applyFont="1" applyFill="1" applyBorder="1" applyAlignment="1">
      <alignment horizontal="center" vertical="center"/>
    </xf>
    <xf numFmtId="1" fontId="8" fillId="3" borderId="59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58" xfId="0" applyNumberFormat="1" applyFont="1" applyFill="1" applyBorder="1" applyAlignment="1">
      <alignment horizontal="center" vertical="center"/>
    </xf>
    <xf numFmtId="1" fontId="17" fillId="0" borderId="64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/>
    </xf>
    <xf numFmtId="1" fontId="25" fillId="0" borderId="6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49" fontId="20" fillId="3" borderId="68" xfId="0" applyNumberFormat="1" applyFont="1" applyFill="1" applyBorder="1" applyAlignment="1">
      <alignment horizontal="center" vertical="center"/>
    </xf>
    <xf numFmtId="1" fontId="7" fillId="0" borderId="60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wrapText="1"/>
    </xf>
    <xf numFmtId="49" fontId="40" fillId="3" borderId="66" xfId="0" applyNumberFormat="1" applyFont="1" applyFill="1" applyBorder="1" applyAlignment="1">
      <alignment horizontal="center" vertical="center" wrapText="1"/>
    </xf>
    <xf numFmtId="1" fontId="5" fillId="3" borderId="23" xfId="0" applyNumberFormat="1" applyFont="1" applyFill="1" applyBorder="1" applyAlignment="1">
      <alignment horizontal="center" vertical="center" wrapText="1"/>
    </xf>
    <xf numFmtId="1" fontId="5" fillId="3" borderId="53" xfId="0" applyNumberFormat="1" applyFont="1" applyFill="1" applyBorder="1" applyAlignment="1">
      <alignment horizontal="center" vertical="center" wrapText="1"/>
    </xf>
    <xf numFmtId="1" fontId="5" fillId="3" borderId="51" xfId="0" applyNumberFormat="1" applyFont="1" applyFill="1" applyBorder="1" applyAlignment="1">
      <alignment horizontal="center" vertical="center" wrapText="1"/>
    </xf>
    <xf numFmtId="1" fontId="7" fillId="3" borderId="23" xfId="0" applyNumberFormat="1" applyFont="1" applyFill="1" applyBorder="1" applyAlignment="1">
      <alignment horizontal="center" vertical="center" wrapText="1"/>
    </xf>
    <xf numFmtId="1" fontId="7" fillId="3" borderId="53" xfId="0" applyNumberFormat="1" applyFont="1" applyFill="1" applyBorder="1" applyAlignment="1">
      <alignment horizontal="center" vertical="center" wrapText="1"/>
    </xf>
    <xf numFmtId="1" fontId="7" fillId="3" borderId="51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1" fontId="7" fillId="3" borderId="52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/>
    </xf>
    <xf numFmtId="1" fontId="12" fillId="3" borderId="50" xfId="0" applyNumberFormat="1" applyFont="1" applyFill="1" applyBorder="1" applyAlignment="1">
      <alignment horizontal="center" vertical="center"/>
    </xf>
    <xf numFmtId="1" fontId="24" fillId="0" borderId="65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58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8" fillId="3" borderId="26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" fillId="3" borderId="26" xfId="0" applyNumberFormat="1" applyFont="1" applyFill="1" applyBorder="1" applyAlignment="1">
      <alignment horizontal="center" vertical="center" wrapText="1"/>
    </xf>
    <xf numFmtId="1" fontId="8" fillId="3" borderId="59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left" vertical="center" wrapText="1"/>
    </xf>
    <xf numFmtId="49" fontId="20" fillId="0" borderId="74" xfId="0" applyNumberFormat="1" applyFont="1" applyBorder="1" applyAlignment="1">
      <alignment horizontal="center" vertical="center" wrapText="1"/>
    </xf>
    <xf numFmtId="1" fontId="1" fillId="3" borderId="28" xfId="0" applyNumberFormat="1" applyFont="1" applyFill="1" applyBorder="1" applyAlignment="1">
      <alignment horizontal="center" vertical="center" wrapText="1"/>
    </xf>
    <xf numFmtId="1" fontId="6" fillId="3" borderId="60" xfId="0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1" fontId="6" fillId="3" borderId="61" xfId="0" applyNumberFormat="1" applyFont="1" applyFill="1" applyBorder="1" applyAlignment="1">
      <alignment horizontal="center" vertical="center" wrapText="1"/>
    </xf>
    <xf numFmtId="1" fontId="15" fillId="0" borderId="44" xfId="0" applyNumberFormat="1" applyFont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49" fontId="19" fillId="0" borderId="70" xfId="0" applyNumberFormat="1" applyFont="1" applyFill="1" applyBorder="1" applyAlignment="1">
      <alignment horizontal="center" vertical="center" wrapText="1"/>
    </xf>
    <xf numFmtId="1" fontId="9" fillId="3" borderId="26" xfId="0" applyNumberFormat="1" applyFont="1" applyFill="1" applyBorder="1" applyAlignment="1">
      <alignment horizontal="center" vertical="center" wrapText="1"/>
    </xf>
    <xf numFmtId="1" fontId="9" fillId="3" borderId="58" xfId="0" applyNumberFormat="1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1" fontId="9" fillId="3" borderId="59" xfId="0" applyNumberFormat="1" applyFont="1" applyFill="1" applyBorder="1" applyAlignment="1">
      <alignment horizontal="center" vertical="center" wrapText="1"/>
    </xf>
    <xf numFmtId="1" fontId="17" fillId="0" borderId="64" xfId="0" applyNumberFormat="1" applyFont="1" applyFill="1" applyBorder="1" applyAlignment="1">
      <alignment horizontal="left" vertical="center" wrapText="1"/>
    </xf>
    <xf numFmtId="1" fontId="19" fillId="0" borderId="64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20" fillId="0" borderId="33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36" fillId="0" borderId="60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" fontId="24" fillId="0" borderId="4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60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1" fontId="20" fillId="0" borderId="69" xfId="0" applyNumberFormat="1" applyFont="1" applyFill="1" applyBorder="1" applyAlignment="1">
      <alignment horizontal="left" vertical="center" wrapText="1"/>
    </xf>
  </cellXfs>
  <cellStyles count="2">
    <cellStyle name="Geras" xfId="1" builtinId="26"/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3"/>
  <sheetViews>
    <sheetView tabSelected="1" topLeftCell="A135" zoomScaleNormal="100" workbookViewId="0">
      <selection activeCell="Z128" sqref="Z128"/>
    </sheetView>
  </sheetViews>
  <sheetFormatPr defaultRowHeight="12.75"/>
  <cols>
    <col min="1" max="1" width="5.85546875" customWidth="1"/>
    <col min="2" max="2" width="31.42578125" customWidth="1"/>
    <col min="3" max="3" width="3.5703125" customWidth="1"/>
    <col min="4" max="4" width="12.42578125" customWidth="1"/>
    <col min="5" max="5" width="9.7109375" customWidth="1"/>
    <col min="6" max="6" width="8.140625" customWidth="1"/>
    <col min="7" max="8" width="7.85546875" customWidth="1"/>
    <col min="9" max="9" width="8.140625" customWidth="1"/>
    <col min="10" max="10" width="8" customWidth="1"/>
    <col min="11" max="11" width="6" customWidth="1"/>
    <col min="12" max="12" width="4.28515625" customWidth="1"/>
    <col min="13" max="13" width="9.42578125" customWidth="1"/>
    <col min="14" max="14" width="9.7109375" customWidth="1"/>
    <col min="15" max="15" width="9.140625" customWidth="1"/>
    <col min="16" max="16" width="7.7109375" customWidth="1"/>
    <col min="17" max="17" width="5.140625" customWidth="1"/>
    <col min="18" max="18" width="8" customWidth="1"/>
    <col min="19" max="19" width="8.140625" customWidth="1"/>
    <col min="20" max="20" width="7.42578125" customWidth="1"/>
    <col min="21" max="21" width="6" customWidth="1"/>
  </cols>
  <sheetData>
    <row r="1" spans="1:21">
      <c r="C1" s="4"/>
      <c r="D1" s="4"/>
      <c r="E1" s="4"/>
      <c r="F1" s="4"/>
      <c r="G1" s="4"/>
      <c r="H1" s="4"/>
      <c r="I1" s="4"/>
      <c r="J1" s="4"/>
      <c r="K1" s="4"/>
      <c r="M1" s="4"/>
      <c r="N1" s="4"/>
      <c r="O1" s="4"/>
      <c r="P1" s="4"/>
      <c r="R1" s="4"/>
      <c r="S1" s="4"/>
      <c r="T1" s="4"/>
      <c r="U1" s="4"/>
    </row>
    <row r="2" spans="1:21">
      <c r="C2" s="4"/>
      <c r="D2" s="4"/>
      <c r="E2" s="4"/>
      <c r="F2" s="4"/>
      <c r="G2" s="4"/>
      <c r="H2" s="4"/>
      <c r="I2" s="4"/>
      <c r="J2" s="4"/>
      <c r="K2" s="4"/>
      <c r="M2" s="4"/>
      <c r="N2" s="4"/>
      <c r="O2" s="624" t="s">
        <v>171</v>
      </c>
      <c r="P2" s="4"/>
      <c r="R2" s="4"/>
      <c r="S2" s="4"/>
      <c r="T2" s="4"/>
      <c r="U2" s="4"/>
    </row>
    <row r="3" spans="1:21" hidden="1"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624" t="s">
        <v>547</v>
      </c>
      <c r="P3" s="4"/>
      <c r="R3" s="4"/>
      <c r="S3" s="4"/>
      <c r="T3" s="4"/>
      <c r="U3" s="4"/>
    </row>
    <row r="4" spans="1:21" hidden="1">
      <c r="D4" s="8"/>
      <c r="E4" s="8"/>
      <c r="F4" s="8"/>
      <c r="G4" s="8"/>
      <c r="H4" s="8"/>
      <c r="I4" s="8"/>
      <c r="J4" s="8"/>
      <c r="K4" s="8"/>
      <c r="M4" s="8"/>
      <c r="N4" s="8"/>
      <c r="O4" s="625" t="s">
        <v>391</v>
      </c>
      <c r="P4" s="101"/>
      <c r="Q4" s="101"/>
      <c r="R4" s="101"/>
      <c r="S4" s="101"/>
      <c r="T4" s="101"/>
      <c r="U4" s="8"/>
    </row>
    <row r="5" spans="1:21" ht="15">
      <c r="D5" s="95"/>
      <c r="E5" s="95"/>
      <c r="F5" s="95"/>
      <c r="G5" s="95"/>
      <c r="H5" s="95"/>
      <c r="I5" s="95"/>
      <c r="J5" s="95"/>
      <c r="K5" s="95"/>
      <c r="M5" s="95"/>
      <c r="N5" s="95"/>
      <c r="O5" s="624" t="s">
        <v>592</v>
      </c>
      <c r="P5" s="78"/>
      <c r="Q5" s="78"/>
      <c r="R5" s="78"/>
      <c r="S5" s="78"/>
      <c r="T5" s="78"/>
      <c r="U5" s="95"/>
    </row>
    <row r="6" spans="1:21" ht="15">
      <c r="D6" s="95"/>
      <c r="E6" s="95"/>
      <c r="F6" s="95"/>
      <c r="G6" s="95"/>
      <c r="H6" s="95"/>
      <c r="I6" s="95"/>
      <c r="J6" s="95"/>
      <c r="K6" s="95"/>
      <c r="M6" s="95"/>
      <c r="N6" s="95"/>
      <c r="O6" s="624" t="s">
        <v>287</v>
      </c>
      <c r="P6" s="78"/>
      <c r="Q6" s="78"/>
      <c r="R6" s="78"/>
      <c r="S6" s="78"/>
      <c r="T6" s="78"/>
      <c r="U6" s="95"/>
    </row>
    <row r="7" spans="1:21" ht="15" hidden="1">
      <c r="D7" s="8"/>
      <c r="E7" s="8"/>
      <c r="F7" s="8"/>
      <c r="G7" s="8"/>
      <c r="H7" s="8"/>
      <c r="I7" s="8"/>
      <c r="J7" s="8"/>
      <c r="K7" s="8"/>
      <c r="M7" s="8"/>
      <c r="N7" s="8"/>
      <c r="O7" s="1188" t="s">
        <v>171</v>
      </c>
      <c r="P7" s="1188"/>
      <c r="Q7" s="1188"/>
      <c r="R7" s="1188"/>
      <c r="S7" s="1188"/>
      <c r="T7" s="1188"/>
      <c r="U7" s="8"/>
    </row>
    <row r="8" spans="1:21" ht="15" hidden="1">
      <c r="D8" s="5"/>
      <c r="E8" s="5"/>
      <c r="F8" s="5"/>
      <c r="G8" s="5"/>
      <c r="H8" s="5"/>
      <c r="I8" s="5"/>
      <c r="J8" s="5"/>
      <c r="K8" s="5"/>
      <c r="M8" s="5"/>
      <c r="N8" s="5"/>
      <c r="O8" s="78" t="s">
        <v>385</v>
      </c>
      <c r="P8" s="78"/>
      <c r="Q8" s="78"/>
      <c r="R8" s="78"/>
      <c r="S8" s="78"/>
      <c r="T8" s="78"/>
      <c r="U8" s="5"/>
    </row>
    <row r="9" spans="1:21" ht="15" hidden="1">
      <c r="D9" s="5"/>
      <c r="E9" s="5"/>
      <c r="F9" s="5"/>
      <c r="G9" s="5"/>
      <c r="H9" s="5"/>
      <c r="I9" s="5"/>
      <c r="J9" s="5"/>
      <c r="K9" s="5"/>
      <c r="M9" s="5"/>
      <c r="N9" s="5"/>
      <c r="O9" s="78" t="s">
        <v>287</v>
      </c>
      <c r="P9" s="78"/>
      <c r="Q9" s="78"/>
      <c r="R9" s="78"/>
      <c r="S9" s="78"/>
      <c r="T9" s="78"/>
      <c r="U9" s="5"/>
    </row>
    <row r="10" spans="1:21" ht="15" customHeight="1">
      <c r="D10" s="8"/>
      <c r="E10" s="8"/>
      <c r="F10" s="8"/>
      <c r="G10" s="8"/>
      <c r="H10" s="8"/>
      <c r="I10" s="8"/>
      <c r="J10" s="8"/>
      <c r="K10" s="8"/>
      <c r="M10" s="8"/>
      <c r="N10" s="8"/>
      <c r="O10" s="1200"/>
      <c r="P10" s="1200"/>
      <c r="Q10" s="1200"/>
      <c r="R10" s="1200"/>
      <c r="S10" s="1200"/>
      <c r="T10" s="1200"/>
      <c r="U10" s="8"/>
    </row>
    <row r="11" spans="1:21">
      <c r="D11" s="8"/>
      <c r="E11" s="8"/>
      <c r="F11" s="8"/>
      <c r="G11" s="8"/>
      <c r="H11" s="8"/>
      <c r="I11" s="8"/>
      <c r="J11" s="8"/>
      <c r="K11" s="8"/>
      <c r="M11" s="8"/>
      <c r="N11" s="8"/>
      <c r="O11" s="1200"/>
      <c r="P11" s="1200"/>
      <c r="Q11" s="1200"/>
      <c r="R11" s="1200"/>
      <c r="S11" s="1200"/>
      <c r="T11" s="1200"/>
      <c r="U11" s="8"/>
    </row>
    <row r="13" spans="1:2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A14" s="32"/>
      <c r="B14" s="32" t="s">
        <v>593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9"/>
      <c r="P14" s="9"/>
      <c r="Q14" s="9"/>
      <c r="R14" s="9"/>
      <c r="S14" s="9"/>
      <c r="T14" s="9"/>
      <c r="U14" s="9"/>
    </row>
    <row r="15" spans="1:2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9"/>
      <c r="P15" s="9"/>
      <c r="Q15" s="9"/>
      <c r="R15" s="9"/>
      <c r="S15" s="9"/>
      <c r="T15" s="9"/>
      <c r="U15" s="9"/>
    </row>
    <row r="16" spans="1:2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4"/>
      <c r="P16" s="4"/>
      <c r="Q16" s="4"/>
      <c r="R16" s="4"/>
      <c r="S16" s="4"/>
      <c r="T16" s="4"/>
      <c r="U16" s="4"/>
    </row>
    <row r="17" spans="1:2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3.5" thickBot="1">
      <c r="E18" s="3"/>
      <c r="I18" s="3"/>
      <c r="N18" s="3"/>
      <c r="R18" s="1201" t="s">
        <v>466</v>
      </c>
      <c r="S18" s="1201"/>
      <c r="T18" s="1201"/>
      <c r="U18" s="1201"/>
    </row>
    <row r="19" spans="1:21" ht="13.5" customHeight="1">
      <c r="A19" s="1202" t="s">
        <v>0</v>
      </c>
      <c r="B19" s="1206" t="s">
        <v>187</v>
      </c>
      <c r="C19" s="1180" t="s">
        <v>190</v>
      </c>
      <c r="D19" s="1189" t="s">
        <v>230</v>
      </c>
      <c r="E19" s="1192" t="s">
        <v>10</v>
      </c>
      <c r="F19" s="1192"/>
      <c r="G19" s="1193"/>
      <c r="H19" s="1189" t="s">
        <v>588</v>
      </c>
      <c r="I19" s="1192" t="s">
        <v>10</v>
      </c>
      <c r="J19" s="1192"/>
      <c r="K19" s="1193"/>
      <c r="L19" s="1197" t="s">
        <v>480</v>
      </c>
      <c r="M19" s="1189" t="s">
        <v>384</v>
      </c>
      <c r="N19" s="1192" t="s">
        <v>10</v>
      </c>
      <c r="O19" s="1192"/>
      <c r="P19" s="1193"/>
      <c r="Q19" s="1197" t="s">
        <v>243</v>
      </c>
      <c r="R19" s="1189" t="s">
        <v>232</v>
      </c>
      <c r="S19" s="1192" t="s">
        <v>10</v>
      </c>
      <c r="T19" s="1192"/>
      <c r="U19" s="1194"/>
    </row>
    <row r="20" spans="1:21" ht="13.5" customHeight="1">
      <c r="A20" s="1203"/>
      <c r="B20" s="1207"/>
      <c r="C20" s="1181"/>
      <c r="D20" s="1190"/>
      <c r="E20" s="1185" t="s">
        <v>170</v>
      </c>
      <c r="F20" s="1185"/>
      <c r="G20" s="1183" t="s">
        <v>168</v>
      </c>
      <c r="H20" s="1190"/>
      <c r="I20" s="1185" t="s">
        <v>170</v>
      </c>
      <c r="J20" s="1185"/>
      <c r="K20" s="1183" t="s">
        <v>168</v>
      </c>
      <c r="L20" s="1198"/>
      <c r="M20" s="1190"/>
      <c r="N20" s="1185" t="s">
        <v>170</v>
      </c>
      <c r="O20" s="1185"/>
      <c r="P20" s="1183" t="s">
        <v>168</v>
      </c>
      <c r="Q20" s="1198"/>
      <c r="R20" s="1190"/>
      <c r="S20" s="1185" t="s">
        <v>170</v>
      </c>
      <c r="T20" s="1185"/>
      <c r="U20" s="1195" t="s">
        <v>168</v>
      </c>
    </row>
    <row r="21" spans="1:21" ht="33" customHeight="1" thickBot="1">
      <c r="A21" s="1204"/>
      <c r="B21" s="1208"/>
      <c r="C21" s="1182"/>
      <c r="D21" s="1191"/>
      <c r="E21" s="38" t="s">
        <v>231</v>
      </c>
      <c r="F21" s="38" t="s">
        <v>169</v>
      </c>
      <c r="G21" s="1184"/>
      <c r="H21" s="1191"/>
      <c r="I21" s="38" t="s">
        <v>231</v>
      </c>
      <c r="J21" s="38" t="s">
        <v>169</v>
      </c>
      <c r="K21" s="1184"/>
      <c r="L21" s="1199"/>
      <c r="M21" s="1191"/>
      <c r="N21" s="38" t="s">
        <v>231</v>
      </c>
      <c r="O21" s="38" t="s">
        <v>169</v>
      </c>
      <c r="P21" s="1184"/>
      <c r="Q21" s="1199"/>
      <c r="R21" s="1191"/>
      <c r="S21" s="38" t="s">
        <v>231</v>
      </c>
      <c r="T21" s="38" t="s">
        <v>169</v>
      </c>
      <c r="U21" s="1196"/>
    </row>
    <row r="22" spans="1:21" ht="13.5" thickBot="1">
      <c r="A22" s="2">
        <v>1</v>
      </c>
      <c r="B22" s="10">
        <v>2</v>
      </c>
      <c r="C22" s="1">
        <v>3</v>
      </c>
      <c r="D22" s="33">
        <v>4</v>
      </c>
      <c r="E22" s="34">
        <v>5</v>
      </c>
      <c r="F22" s="34">
        <v>6</v>
      </c>
      <c r="G22" s="35">
        <v>7</v>
      </c>
      <c r="H22" s="33">
        <v>8</v>
      </c>
      <c r="I22" s="34">
        <v>9</v>
      </c>
      <c r="J22" s="34">
        <v>10</v>
      </c>
      <c r="K22" s="35">
        <v>11</v>
      </c>
      <c r="L22" s="36">
        <v>12</v>
      </c>
      <c r="M22" s="33">
        <v>13</v>
      </c>
      <c r="N22" s="34">
        <v>14</v>
      </c>
      <c r="O22" s="34">
        <v>15</v>
      </c>
      <c r="P22" s="35">
        <v>16</v>
      </c>
      <c r="Q22" s="36">
        <v>17</v>
      </c>
      <c r="R22" s="33">
        <v>18</v>
      </c>
      <c r="S22" s="34">
        <v>19</v>
      </c>
      <c r="T22" s="34">
        <v>20</v>
      </c>
      <c r="U22" s="37">
        <v>21</v>
      </c>
    </row>
    <row r="23" spans="1:21" ht="57" customHeight="1" thickBot="1">
      <c r="A23" s="12" t="s">
        <v>1</v>
      </c>
      <c r="B23" s="13" t="s">
        <v>594</v>
      </c>
      <c r="C23" s="102"/>
      <c r="D23" s="749">
        <f>SUM(D25,D60,D63,D67,D73,D78,D81,D86,D87,)</f>
        <v>5596457</v>
      </c>
      <c r="E23" s="750">
        <f>SUM(E25,E60,E63,E67,E73,E78,E81,E86,E87,)</f>
        <v>3879857</v>
      </c>
      <c r="F23" s="750">
        <f>SUM(F25,F60,F63,F67,F73,F78,F81,F86,F87,)</f>
        <v>2593790</v>
      </c>
      <c r="G23" s="751">
        <f>SUM(G25,G60,G63,G67,G73,G78,G81,G86,G87,)</f>
        <v>1716600</v>
      </c>
      <c r="H23" s="152">
        <f>SUM(H25+H78+H81+H505+H86)</f>
        <v>0</v>
      </c>
      <c r="I23" s="150">
        <f>SUM(I25+I78+I81+I505+I86)</f>
        <v>0</v>
      </c>
      <c r="J23" s="150">
        <f>SUM(J25+J78+J81+J505+J86)</f>
        <v>0</v>
      </c>
      <c r="K23" s="153">
        <f>SUM(K25+K78+K81+K505+K86)</f>
        <v>0</v>
      </c>
      <c r="L23" s="49"/>
      <c r="M23" s="749">
        <f>SUM(M25,)</f>
        <v>443068</v>
      </c>
      <c r="N23" s="750">
        <f t="shared" ref="N23:P23" si="0">SUM(N25,)</f>
        <v>443068</v>
      </c>
      <c r="O23" s="750">
        <f t="shared" si="0"/>
        <v>396043</v>
      </c>
      <c r="P23" s="751">
        <f t="shared" si="0"/>
        <v>0</v>
      </c>
      <c r="Q23" s="81"/>
      <c r="R23" s="149">
        <f>SUM(R25)</f>
        <v>100000</v>
      </c>
      <c r="S23" s="150">
        <f>SUM(S25)</f>
        <v>100000</v>
      </c>
      <c r="T23" s="150">
        <f>SUM(T25+T78+T81+T505+T86)</f>
        <v>0</v>
      </c>
      <c r="U23" s="151">
        <f>SUM(U25+U78+U81+U505+U86)</f>
        <v>0</v>
      </c>
    </row>
    <row r="24" spans="1:21" ht="17.25" customHeight="1">
      <c r="A24" s="41"/>
      <c r="B24" s="966" t="s">
        <v>244</v>
      </c>
      <c r="C24" s="959"/>
      <c r="D24" s="746"/>
      <c r="E24" s="747"/>
      <c r="F24" s="747"/>
      <c r="G24" s="748"/>
      <c r="H24" s="155"/>
      <c r="I24" s="154"/>
      <c r="J24" s="154"/>
      <c r="K24" s="156"/>
      <c r="L24" s="732"/>
      <c r="M24" s="1069"/>
      <c r="N24" s="747"/>
      <c r="O24" s="747"/>
      <c r="P24" s="1070"/>
      <c r="Q24" s="734"/>
      <c r="R24" s="155"/>
      <c r="S24" s="154"/>
      <c r="T24" s="154"/>
      <c r="U24" s="156"/>
    </row>
    <row r="25" spans="1:21" ht="24">
      <c r="A25" s="42" t="s">
        <v>2</v>
      </c>
      <c r="B25" s="967" t="s">
        <v>167</v>
      </c>
      <c r="C25" s="960"/>
      <c r="D25" s="157">
        <f>SUM(D27,D28,D31,D32)</f>
        <v>2930568</v>
      </c>
      <c r="E25" s="157">
        <f t="shared" ref="E25:G25" si="1">SUM(E27,E28,E31,E32)</f>
        <v>2900268</v>
      </c>
      <c r="F25" s="157">
        <f t="shared" si="1"/>
        <v>2520890</v>
      </c>
      <c r="G25" s="730">
        <f t="shared" si="1"/>
        <v>30300</v>
      </c>
      <c r="H25" s="160">
        <f>SUM(H27,H28,H32,H54:H65)</f>
        <v>0</v>
      </c>
      <c r="I25" s="158">
        <f>SUM(I27,I28,I32,I54:I65)</f>
        <v>0</v>
      </c>
      <c r="J25" s="158">
        <f>SUM(J27,J28,J32,J54:J65)</f>
        <v>0</v>
      </c>
      <c r="K25" s="161">
        <f>SUM(K27,K28,K32,K54:K65)</f>
        <v>0</v>
      </c>
      <c r="L25" s="733"/>
      <c r="M25" s="160">
        <f>SUM(M27,M28,M32,M54:M65,)</f>
        <v>443068</v>
      </c>
      <c r="N25" s="158">
        <f>SUM(N27,N28,N32,N54:N65,)</f>
        <v>443068</v>
      </c>
      <c r="O25" s="158">
        <f>SUM(O27,O28,O32,O54:O65,)</f>
        <v>396043</v>
      </c>
      <c r="P25" s="161">
        <f>SUM(P27,P28,P32,P54:P65,)</f>
        <v>0</v>
      </c>
      <c r="Q25" s="735"/>
      <c r="R25" s="160">
        <f>SUM(R27,R28,R32,R54:R65)</f>
        <v>100000</v>
      </c>
      <c r="S25" s="158">
        <f>SUM(S27,S28,S32,S54:S65)</f>
        <v>100000</v>
      </c>
      <c r="T25" s="158">
        <f>SUM(T27,T28,T32,T54:T65)</f>
        <v>0</v>
      </c>
      <c r="U25" s="161">
        <f>SUM(U27,U28,U32,U54:U65)</f>
        <v>0</v>
      </c>
    </row>
    <row r="26" spans="1:21">
      <c r="A26" s="848"/>
      <c r="B26" s="968" t="s">
        <v>146</v>
      </c>
      <c r="C26" s="961"/>
      <c r="D26" s="157"/>
      <c r="E26" s="158"/>
      <c r="F26" s="158"/>
      <c r="G26" s="159"/>
      <c r="H26" s="160"/>
      <c r="I26" s="158"/>
      <c r="J26" s="158"/>
      <c r="K26" s="161"/>
      <c r="L26" s="733"/>
      <c r="M26" s="160"/>
      <c r="N26" s="158"/>
      <c r="O26" s="158"/>
      <c r="P26" s="161"/>
      <c r="Q26" s="736"/>
      <c r="R26" s="160"/>
      <c r="S26" s="158"/>
      <c r="T26" s="158"/>
      <c r="U26" s="161"/>
    </row>
    <row r="27" spans="1:21">
      <c r="A27" s="848" t="s">
        <v>3</v>
      </c>
      <c r="B27" s="108" t="s">
        <v>595</v>
      </c>
      <c r="C27" s="962" t="s">
        <v>156</v>
      </c>
      <c r="D27" s="162">
        <v>55282</v>
      </c>
      <c r="E27" s="163">
        <v>55282</v>
      </c>
      <c r="F27" s="163">
        <v>16200</v>
      </c>
      <c r="G27" s="164"/>
      <c r="H27" s="740"/>
      <c r="I27" s="741"/>
      <c r="J27" s="741"/>
      <c r="K27" s="742"/>
      <c r="L27" s="374"/>
      <c r="M27" s="727"/>
      <c r="N27" s="728"/>
      <c r="O27" s="728"/>
      <c r="P27" s="729"/>
      <c r="Q27" s="71"/>
      <c r="R27" s="727"/>
      <c r="S27" s="728"/>
      <c r="T27" s="728"/>
      <c r="U27" s="729"/>
    </row>
    <row r="28" spans="1:21">
      <c r="A28" s="848" t="s">
        <v>4</v>
      </c>
      <c r="B28" s="108" t="s">
        <v>596</v>
      </c>
      <c r="C28" s="962" t="s">
        <v>156</v>
      </c>
      <c r="D28" s="162">
        <f>104850+10000</f>
        <v>114850</v>
      </c>
      <c r="E28" s="163">
        <f>+D28</f>
        <v>114850</v>
      </c>
      <c r="F28" s="163">
        <v>81200</v>
      </c>
      <c r="G28" s="164"/>
      <c r="H28" s="740"/>
      <c r="I28" s="741"/>
      <c r="J28" s="741"/>
      <c r="K28" s="742"/>
      <c r="L28" s="374"/>
      <c r="M28" s="727"/>
      <c r="N28" s="728"/>
      <c r="O28" s="728"/>
      <c r="P28" s="729"/>
      <c r="Q28" s="71"/>
      <c r="R28" s="727"/>
      <c r="S28" s="728"/>
      <c r="T28" s="728"/>
      <c r="U28" s="729"/>
    </row>
    <row r="29" spans="1:21">
      <c r="A29" s="848"/>
      <c r="B29" s="108" t="s">
        <v>166</v>
      </c>
      <c r="C29" s="962"/>
      <c r="D29" s="162"/>
      <c r="E29" s="163"/>
      <c r="F29" s="163"/>
      <c r="G29" s="164"/>
      <c r="H29" s="740"/>
      <c r="I29" s="741"/>
      <c r="J29" s="741"/>
      <c r="K29" s="742"/>
      <c r="L29" s="374"/>
      <c r="M29" s="727"/>
      <c r="N29" s="728"/>
      <c r="O29" s="728"/>
      <c r="P29" s="729"/>
      <c r="Q29" s="71"/>
      <c r="R29" s="727"/>
      <c r="S29" s="728"/>
      <c r="T29" s="728"/>
      <c r="U29" s="729"/>
    </row>
    <row r="30" spans="1:21">
      <c r="A30" s="15" t="s">
        <v>173</v>
      </c>
      <c r="B30" s="108" t="s">
        <v>172</v>
      </c>
      <c r="C30" s="962" t="s">
        <v>156</v>
      </c>
      <c r="D30" s="162">
        <v>10000</v>
      </c>
      <c r="E30" s="163">
        <f>+D30</f>
        <v>10000</v>
      </c>
      <c r="F30" s="163"/>
      <c r="G30" s="164"/>
      <c r="H30" s="740"/>
      <c r="I30" s="741"/>
      <c r="J30" s="741"/>
      <c r="K30" s="742"/>
      <c r="L30" s="374"/>
      <c r="M30" s="727"/>
      <c r="N30" s="728"/>
      <c r="O30" s="728"/>
      <c r="P30" s="729"/>
      <c r="Q30" s="71"/>
      <c r="R30" s="727"/>
      <c r="S30" s="728"/>
      <c r="T30" s="728"/>
      <c r="U30" s="729"/>
    </row>
    <row r="31" spans="1:21" ht="22.5">
      <c r="A31" s="15" t="s">
        <v>5</v>
      </c>
      <c r="B31" s="108" t="s">
        <v>597</v>
      </c>
      <c r="C31" s="962" t="s">
        <v>156</v>
      </c>
      <c r="D31" s="162">
        <v>43000</v>
      </c>
      <c r="E31" s="166">
        <f>+D31</f>
        <v>43000</v>
      </c>
      <c r="F31" s="166">
        <v>42390</v>
      </c>
      <c r="G31" s="164"/>
      <c r="H31" s="740"/>
      <c r="I31" s="741"/>
      <c r="J31" s="741"/>
      <c r="K31" s="742"/>
      <c r="L31" s="374"/>
      <c r="M31" s="727"/>
      <c r="N31" s="728"/>
      <c r="O31" s="728"/>
      <c r="P31" s="729"/>
      <c r="Q31" s="71"/>
      <c r="R31" s="727"/>
      <c r="S31" s="728"/>
      <c r="T31" s="728"/>
      <c r="U31" s="729"/>
    </row>
    <row r="32" spans="1:21" ht="21">
      <c r="A32" s="848" t="s">
        <v>6</v>
      </c>
      <c r="B32" s="969" t="s">
        <v>165</v>
      </c>
      <c r="C32" s="962"/>
      <c r="D32" s="168">
        <f>SUM(D34:D59)</f>
        <v>2717436</v>
      </c>
      <c r="E32" s="168">
        <f>SUM(E34:E59)</f>
        <v>2687136</v>
      </c>
      <c r="F32" s="168">
        <f>SUM(F34:F59)</f>
        <v>2381100</v>
      </c>
      <c r="G32" s="731">
        <f>SUM(G34:G59)</f>
        <v>30300</v>
      </c>
      <c r="H32" s="740">
        <f t="shared" ref="H32:K32" si="2">SUM(H34:H48)</f>
        <v>0</v>
      </c>
      <c r="I32" s="741">
        <f t="shared" si="2"/>
        <v>0</v>
      </c>
      <c r="J32" s="741">
        <f t="shared" si="2"/>
        <v>0</v>
      </c>
      <c r="K32" s="742">
        <f t="shared" si="2"/>
        <v>0</v>
      </c>
      <c r="L32" s="374"/>
      <c r="M32" s="727">
        <f>SUM(M34:M53)</f>
        <v>443068</v>
      </c>
      <c r="N32" s="728">
        <f>M32-P32</f>
        <v>443068</v>
      </c>
      <c r="O32" s="728">
        <f>SUM(O34:O53)</f>
        <v>396043</v>
      </c>
      <c r="P32" s="729">
        <f>SUM(P35:P38,P39:P49)</f>
        <v>0</v>
      </c>
      <c r="Q32" s="69">
        <v>11011</v>
      </c>
      <c r="R32" s="727">
        <v>100000</v>
      </c>
      <c r="S32" s="728">
        <v>100000</v>
      </c>
      <c r="T32" s="728"/>
      <c r="U32" s="729"/>
    </row>
    <row r="33" spans="1:21">
      <c r="A33" s="848"/>
      <c r="B33" s="108" t="s">
        <v>146</v>
      </c>
      <c r="C33" s="962"/>
      <c r="D33" s="162"/>
      <c r="E33" s="166"/>
      <c r="F33" s="166"/>
      <c r="G33" s="164"/>
      <c r="H33" s="740"/>
      <c r="I33" s="741"/>
      <c r="J33" s="741"/>
      <c r="K33" s="742"/>
      <c r="L33" s="374"/>
      <c r="M33" s="727"/>
      <c r="N33" s="728"/>
      <c r="O33" s="728"/>
      <c r="P33" s="729"/>
      <c r="Q33" s="71"/>
      <c r="R33" s="727"/>
      <c r="S33" s="728"/>
      <c r="T33" s="728"/>
      <c r="U33" s="729"/>
    </row>
    <row r="34" spans="1:21" ht="18" customHeight="1">
      <c r="A34" s="15" t="s">
        <v>324</v>
      </c>
      <c r="B34" s="108" t="s">
        <v>263</v>
      </c>
      <c r="C34" s="962"/>
      <c r="D34" s="162">
        <v>2563511</v>
      </c>
      <c r="E34" s="166">
        <f>D34-G34</f>
        <v>2556511</v>
      </c>
      <c r="F34" s="163">
        <v>2350400</v>
      </c>
      <c r="G34" s="638">
        <v>7000</v>
      </c>
      <c r="H34" s="753"/>
      <c r="I34" s="752"/>
      <c r="J34" s="752"/>
      <c r="K34" s="742"/>
      <c r="L34" s="361"/>
      <c r="M34" s="727"/>
      <c r="N34" s="728">
        <f t="shared" ref="N34:N53" si="3">M34-P34</f>
        <v>0</v>
      </c>
      <c r="O34" s="728"/>
      <c r="P34" s="729"/>
      <c r="Q34" s="69"/>
      <c r="R34" s="727"/>
      <c r="S34" s="728"/>
      <c r="T34" s="728"/>
      <c r="U34" s="729"/>
    </row>
    <row r="35" spans="1:21" ht="22.5">
      <c r="A35" s="15" t="s">
        <v>262</v>
      </c>
      <c r="B35" s="968" t="s">
        <v>252</v>
      </c>
      <c r="C35" s="963" t="s">
        <v>156</v>
      </c>
      <c r="D35" s="162"/>
      <c r="E35" s="166"/>
      <c r="F35" s="166"/>
      <c r="G35" s="164"/>
      <c r="H35" s="753"/>
      <c r="I35" s="752"/>
      <c r="J35" s="752"/>
      <c r="K35" s="742"/>
      <c r="L35" s="696" t="s">
        <v>483</v>
      </c>
      <c r="M35" s="170">
        <v>500</v>
      </c>
      <c r="N35" s="728">
        <v>500</v>
      </c>
      <c r="O35" s="171">
        <v>492</v>
      </c>
      <c r="P35" s="711"/>
      <c r="Q35" s="706"/>
      <c r="R35" s="727"/>
      <c r="S35" s="728"/>
      <c r="T35" s="728"/>
      <c r="U35" s="729"/>
    </row>
    <row r="36" spans="1:21" ht="22.5">
      <c r="A36" s="15" t="s">
        <v>288</v>
      </c>
      <c r="B36" s="968" t="s">
        <v>253</v>
      </c>
      <c r="C36" s="963" t="s">
        <v>156</v>
      </c>
      <c r="D36" s="173"/>
      <c r="E36" s="166"/>
      <c r="F36" s="166"/>
      <c r="G36" s="164"/>
      <c r="H36" s="740"/>
      <c r="I36" s="741"/>
      <c r="J36" s="741"/>
      <c r="K36" s="742"/>
      <c r="L36" s="696" t="s">
        <v>483</v>
      </c>
      <c r="M36" s="170">
        <v>200</v>
      </c>
      <c r="N36" s="728">
        <v>200</v>
      </c>
      <c r="O36" s="171">
        <v>195</v>
      </c>
      <c r="P36" s="711"/>
      <c r="Q36" s="706"/>
      <c r="R36" s="727"/>
      <c r="S36" s="728"/>
      <c r="T36" s="728"/>
      <c r="U36" s="729"/>
    </row>
    <row r="37" spans="1:21" ht="18.75" customHeight="1">
      <c r="A37" s="15" t="s">
        <v>289</v>
      </c>
      <c r="B37" s="968" t="s">
        <v>254</v>
      </c>
      <c r="C37" s="963" t="s">
        <v>156</v>
      </c>
      <c r="D37" s="173"/>
      <c r="E37" s="166"/>
      <c r="F37" s="166"/>
      <c r="G37" s="164"/>
      <c r="H37" s="740"/>
      <c r="I37" s="741"/>
      <c r="J37" s="741"/>
      <c r="K37" s="742"/>
      <c r="L37" s="696" t="s">
        <v>483</v>
      </c>
      <c r="M37" s="170">
        <v>26100</v>
      </c>
      <c r="N37" s="728">
        <f>+M37</f>
        <v>26100</v>
      </c>
      <c r="O37" s="171">
        <v>25500</v>
      </c>
      <c r="P37" s="711"/>
      <c r="Q37" s="706"/>
      <c r="R37" s="727"/>
      <c r="S37" s="728"/>
      <c r="T37" s="728"/>
      <c r="U37" s="729"/>
    </row>
    <row r="38" spans="1:21" ht="19.5" customHeight="1">
      <c r="A38" s="15" t="s">
        <v>290</v>
      </c>
      <c r="B38" s="968" t="s">
        <v>467</v>
      </c>
      <c r="C38" s="963" t="s">
        <v>156</v>
      </c>
      <c r="D38" s="173"/>
      <c r="E38" s="166"/>
      <c r="F38" s="166"/>
      <c r="G38" s="164"/>
      <c r="H38" s="740"/>
      <c r="I38" s="741"/>
      <c r="J38" s="741"/>
      <c r="K38" s="742"/>
      <c r="L38" s="696" t="s">
        <v>483</v>
      </c>
      <c r="M38" s="170">
        <v>15700</v>
      </c>
      <c r="N38" s="1015">
        <f>+M38</f>
        <v>15700</v>
      </c>
      <c r="O38" s="171">
        <v>14850</v>
      </c>
      <c r="P38" s="739"/>
      <c r="Q38" s="706"/>
      <c r="R38" s="727"/>
      <c r="S38" s="728"/>
      <c r="T38" s="728"/>
      <c r="U38" s="729"/>
    </row>
    <row r="39" spans="1:21" ht="22.5">
      <c r="A39" s="15" t="s">
        <v>291</v>
      </c>
      <c r="B39" s="968" t="s">
        <v>255</v>
      </c>
      <c r="C39" s="963" t="s">
        <v>156</v>
      </c>
      <c r="D39" s="173"/>
      <c r="E39" s="166"/>
      <c r="F39" s="166"/>
      <c r="G39" s="164"/>
      <c r="H39" s="740"/>
      <c r="I39" s="741"/>
      <c r="J39" s="741"/>
      <c r="K39" s="742"/>
      <c r="L39" s="696" t="s">
        <v>483</v>
      </c>
      <c r="M39" s="170">
        <v>8240</v>
      </c>
      <c r="N39" s="728">
        <f>+M39</f>
        <v>8240</v>
      </c>
      <c r="O39" s="171">
        <v>8122</v>
      </c>
      <c r="P39" s="711"/>
      <c r="Q39" s="706"/>
      <c r="R39" s="727"/>
      <c r="S39" s="728"/>
      <c r="T39" s="728"/>
      <c r="U39" s="729"/>
    </row>
    <row r="40" spans="1:21" ht="16.5" customHeight="1">
      <c r="A40" s="15" t="s">
        <v>292</v>
      </c>
      <c r="B40" s="968" t="s">
        <v>256</v>
      </c>
      <c r="C40" s="963" t="s">
        <v>156</v>
      </c>
      <c r="D40" s="173"/>
      <c r="E40" s="166"/>
      <c r="F40" s="166"/>
      <c r="G40" s="164"/>
      <c r="H40" s="740"/>
      <c r="I40" s="741"/>
      <c r="J40" s="741"/>
      <c r="K40" s="742"/>
      <c r="L40" s="696" t="s">
        <v>483</v>
      </c>
      <c r="M40" s="174">
        <v>18400</v>
      </c>
      <c r="N40" s="728">
        <f>+M40</f>
        <v>18400</v>
      </c>
      <c r="O40" s="175">
        <v>15700</v>
      </c>
      <c r="P40" s="711"/>
      <c r="Q40" s="706"/>
      <c r="R40" s="727"/>
      <c r="S40" s="728"/>
      <c r="T40" s="728"/>
      <c r="U40" s="729"/>
    </row>
    <row r="41" spans="1:21" ht="15.75" customHeight="1">
      <c r="A41" s="15" t="s">
        <v>293</v>
      </c>
      <c r="B41" s="968" t="s">
        <v>257</v>
      </c>
      <c r="C41" s="963" t="s">
        <v>156</v>
      </c>
      <c r="D41" s="173"/>
      <c r="E41" s="166"/>
      <c r="F41" s="166"/>
      <c r="G41" s="164"/>
      <c r="H41" s="740"/>
      <c r="I41" s="741"/>
      <c r="J41" s="741"/>
      <c r="K41" s="742"/>
      <c r="L41" s="696" t="s">
        <v>483</v>
      </c>
      <c r="M41" s="174">
        <v>11800</v>
      </c>
      <c r="N41" s="728">
        <v>11800</v>
      </c>
      <c r="O41" s="175">
        <v>11631</v>
      </c>
      <c r="P41" s="711"/>
      <c r="Q41" s="706"/>
      <c r="R41" s="727"/>
      <c r="S41" s="728"/>
      <c r="T41" s="728"/>
      <c r="U41" s="729"/>
    </row>
    <row r="42" spans="1:21" ht="18" customHeight="1">
      <c r="A42" s="15" t="s">
        <v>294</v>
      </c>
      <c r="B42" s="968" t="s">
        <v>258</v>
      </c>
      <c r="C42" s="963" t="s">
        <v>156</v>
      </c>
      <c r="D42" s="173"/>
      <c r="E42" s="166"/>
      <c r="F42" s="166"/>
      <c r="G42" s="164"/>
      <c r="H42" s="740"/>
      <c r="I42" s="741"/>
      <c r="J42" s="741"/>
      <c r="K42" s="742"/>
      <c r="L42" s="696" t="s">
        <v>483</v>
      </c>
      <c r="M42" s="174">
        <v>5900</v>
      </c>
      <c r="N42" s="728">
        <f>+M42</f>
        <v>5900</v>
      </c>
      <c r="O42" s="175">
        <v>5815</v>
      </c>
      <c r="P42" s="711"/>
      <c r="Q42" s="706"/>
      <c r="R42" s="727"/>
      <c r="S42" s="728"/>
      <c r="T42" s="728"/>
      <c r="U42" s="729"/>
    </row>
    <row r="43" spans="1:21" ht="19.5">
      <c r="A43" s="15" t="s">
        <v>295</v>
      </c>
      <c r="B43" s="970" t="s">
        <v>259</v>
      </c>
      <c r="C43" s="963" t="s">
        <v>358</v>
      </c>
      <c r="D43" s="173"/>
      <c r="E43" s="166"/>
      <c r="F43" s="166"/>
      <c r="G43" s="164"/>
      <c r="H43" s="740"/>
      <c r="I43" s="741"/>
      <c r="J43" s="741"/>
      <c r="K43" s="742"/>
      <c r="L43" s="692" t="s">
        <v>483</v>
      </c>
      <c r="M43" s="174">
        <v>17000</v>
      </c>
      <c r="N43" s="728">
        <f>+M43</f>
        <v>17000</v>
      </c>
      <c r="O43" s="175">
        <v>12000</v>
      </c>
      <c r="P43" s="711"/>
      <c r="Q43" s="702"/>
      <c r="R43" s="727"/>
      <c r="S43" s="728"/>
      <c r="T43" s="728"/>
      <c r="U43" s="729"/>
    </row>
    <row r="44" spans="1:21" ht="32.25" customHeight="1">
      <c r="A44" s="15" t="s">
        <v>296</v>
      </c>
      <c r="B44" s="968" t="s">
        <v>602</v>
      </c>
      <c r="C44" s="962" t="s">
        <v>358</v>
      </c>
      <c r="D44" s="173"/>
      <c r="E44" s="166"/>
      <c r="F44" s="166"/>
      <c r="G44" s="164"/>
      <c r="H44" s="740"/>
      <c r="I44" s="741"/>
      <c r="J44" s="741"/>
      <c r="K44" s="742"/>
      <c r="L44" s="696" t="s">
        <v>483</v>
      </c>
      <c r="M44" s="174">
        <v>12000</v>
      </c>
      <c r="N44" s="728">
        <v>12000</v>
      </c>
      <c r="O44" s="175">
        <v>10500</v>
      </c>
      <c r="P44" s="711"/>
      <c r="Q44" s="706"/>
      <c r="R44" s="727"/>
      <c r="S44" s="728"/>
      <c r="T44" s="728"/>
      <c r="U44" s="729"/>
    </row>
    <row r="45" spans="1:21" ht="19.5">
      <c r="A45" s="15" t="s">
        <v>297</v>
      </c>
      <c r="B45" s="968" t="s">
        <v>260</v>
      </c>
      <c r="C45" s="963" t="s">
        <v>89</v>
      </c>
      <c r="D45" s="173"/>
      <c r="E45" s="166"/>
      <c r="F45" s="166"/>
      <c r="G45" s="164"/>
      <c r="H45" s="740"/>
      <c r="I45" s="741"/>
      <c r="J45" s="741"/>
      <c r="K45" s="742"/>
      <c r="L45" s="696" t="s">
        <v>483</v>
      </c>
      <c r="M45" s="174">
        <v>258400</v>
      </c>
      <c r="N45" s="728">
        <f t="shared" ref="N45:N50" si="4">+M45</f>
        <v>258400</v>
      </c>
      <c r="O45" s="175">
        <v>235000</v>
      </c>
      <c r="P45" s="712"/>
      <c r="Q45" s="706"/>
      <c r="R45" s="727"/>
      <c r="S45" s="728"/>
      <c r="T45" s="728"/>
      <c r="U45" s="729"/>
    </row>
    <row r="46" spans="1:21" ht="19.5">
      <c r="A46" s="15" t="s">
        <v>298</v>
      </c>
      <c r="B46" s="108" t="s">
        <v>371</v>
      </c>
      <c r="C46" s="962" t="s">
        <v>355</v>
      </c>
      <c r="D46" s="173"/>
      <c r="E46" s="166"/>
      <c r="F46" s="166"/>
      <c r="G46" s="164"/>
      <c r="H46" s="740"/>
      <c r="I46" s="741"/>
      <c r="J46" s="741"/>
      <c r="K46" s="742"/>
      <c r="L46" s="361" t="s">
        <v>483</v>
      </c>
      <c r="M46" s="170">
        <v>5700</v>
      </c>
      <c r="N46" s="728">
        <f t="shared" si="4"/>
        <v>5700</v>
      </c>
      <c r="O46" s="175">
        <v>5619</v>
      </c>
      <c r="P46" s="711"/>
      <c r="Q46" s="69"/>
      <c r="R46" s="727"/>
      <c r="S46" s="728"/>
      <c r="T46" s="728"/>
      <c r="U46" s="729"/>
    </row>
    <row r="47" spans="1:21" ht="19.5">
      <c r="A47" s="15" t="s">
        <v>299</v>
      </c>
      <c r="B47" s="968" t="s">
        <v>601</v>
      </c>
      <c r="C47" s="963" t="s">
        <v>355</v>
      </c>
      <c r="D47" s="173"/>
      <c r="E47" s="166"/>
      <c r="F47" s="166"/>
      <c r="G47" s="164"/>
      <c r="H47" s="740"/>
      <c r="I47" s="741"/>
      <c r="J47" s="741"/>
      <c r="K47" s="742"/>
      <c r="L47" s="696" t="s">
        <v>483</v>
      </c>
      <c r="M47" s="174">
        <v>28000</v>
      </c>
      <c r="N47" s="728">
        <f t="shared" si="4"/>
        <v>28000</v>
      </c>
      <c r="O47" s="175">
        <v>27600</v>
      </c>
      <c r="P47" s="711"/>
      <c r="Q47" s="706"/>
      <c r="R47" s="727"/>
      <c r="S47" s="728"/>
      <c r="T47" s="728"/>
      <c r="U47" s="729"/>
    </row>
    <row r="48" spans="1:21" ht="27.75" customHeight="1">
      <c r="A48" s="15" t="s">
        <v>300</v>
      </c>
      <c r="B48" s="968" t="s">
        <v>233</v>
      </c>
      <c r="C48" s="963" t="s">
        <v>355</v>
      </c>
      <c r="D48" s="173"/>
      <c r="E48" s="166"/>
      <c r="F48" s="166"/>
      <c r="G48" s="164"/>
      <c r="H48" s="740"/>
      <c r="I48" s="741"/>
      <c r="J48" s="741"/>
      <c r="K48" s="742"/>
      <c r="L48" s="696" t="s">
        <v>483</v>
      </c>
      <c r="M48" s="174">
        <v>19700</v>
      </c>
      <c r="N48" s="728">
        <f t="shared" si="4"/>
        <v>19700</v>
      </c>
      <c r="O48" s="175">
        <v>19419</v>
      </c>
      <c r="P48" s="712"/>
      <c r="Q48" s="706"/>
      <c r="R48" s="727"/>
      <c r="S48" s="728"/>
      <c r="T48" s="728"/>
      <c r="U48" s="729"/>
    </row>
    <row r="49" spans="1:21" ht="22.5">
      <c r="A49" s="15" t="s">
        <v>301</v>
      </c>
      <c r="B49" s="968" t="s">
        <v>380</v>
      </c>
      <c r="C49" s="963" t="s">
        <v>355</v>
      </c>
      <c r="D49" s="173"/>
      <c r="E49" s="166"/>
      <c r="F49" s="166"/>
      <c r="G49" s="164"/>
      <c r="H49" s="740"/>
      <c r="I49" s="741"/>
      <c r="J49" s="741"/>
      <c r="K49" s="742"/>
      <c r="L49" s="696" t="s">
        <v>483</v>
      </c>
      <c r="M49" s="174">
        <v>3900</v>
      </c>
      <c r="N49" s="728">
        <f t="shared" si="4"/>
        <v>3900</v>
      </c>
      <c r="O49" s="175">
        <v>3600</v>
      </c>
      <c r="P49" s="712"/>
      <c r="Q49" s="706"/>
      <c r="R49" s="727"/>
      <c r="S49" s="728"/>
      <c r="T49" s="728"/>
      <c r="U49" s="729"/>
    </row>
    <row r="50" spans="1:21" ht="27" customHeight="1">
      <c r="A50" s="15" t="s">
        <v>302</v>
      </c>
      <c r="B50" s="108" t="s">
        <v>454</v>
      </c>
      <c r="C50" s="963" t="s">
        <v>89</v>
      </c>
      <c r="D50" s="173"/>
      <c r="E50" s="166"/>
      <c r="F50" s="166"/>
      <c r="G50" s="164"/>
      <c r="H50" s="740"/>
      <c r="I50" s="741"/>
      <c r="J50" s="741"/>
      <c r="K50" s="742"/>
      <c r="L50" s="696" t="s">
        <v>483</v>
      </c>
      <c r="M50" s="174">
        <v>11528</v>
      </c>
      <c r="N50" s="728">
        <f t="shared" si="4"/>
        <v>11528</v>
      </c>
      <c r="O50" s="171"/>
      <c r="P50" s="712"/>
      <c r="Q50" s="706"/>
      <c r="R50" s="727"/>
      <c r="S50" s="728"/>
      <c r="T50" s="728"/>
      <c r="U50" s="729"/>
    </row>
    <row r="51" spans="1:21" ht="24.75" customHeight="1">
      <c r="A51" s="15" t="s">
        <v>424</v>
      </c>
      <c r="B51" s="108" t="s">
        <v>562</v>
      </c>
      <c r="C51" s="963" t="s">
        <v>156</v>
      </c>
      <c r="D51" s="173">
        <v>58645</v>
      </c>
      <c r="E51" s="350">
        <f>+D51</f>
        <v>58645</v>
      </c>
      <c r="F51" s="350">
        <v>30700</v>
      </c>
      <c r="G51" s="351"/>
      <c r="H51" s="740"/>
      <c r="I51" s="741"/>
      <c r="J51" s="741"/>
      <c r="K51" s="742"/>
      <c r="L51" s="696"/>
      <c r="M51" s="174"/>
      <c r="N51" s="728"/>
      <c r="O51" s="171"/>
      <c r="P51" s="712"/>
      <c r="Q51" s="706"/>
      <c r="R51" s="727"/>
      <c r="S51" s="728"/>
      <c r="T51" s="728"/>
      <c r="U51" s="729"/>
    </row>
    <row r="52" spans="1:21" ht="30" hidden="1" customHeight="1">
      <c r="A52" s="15" t="s">
        <v>681</v>
      </c>
      <c r="B52" s="108" t="s">
        <v>599</v>
      </c>
      <c r="C52" s="963" t="s">
        <v>89</v>
      </c>
      <c r="D52" s="173"/>
      <c r="E52" s="166"/>
      <c r="F52" s="166"/>
      <c r="G52" s="164"/>
      <c r="H52" s="740"/>
      <c r="I52" s="741"/>
      <c r="J52" s="741"/>
      <c r="K52" s="742"/>
      <c r="L52" s="696" t="s">
        <v>483</v>
      </c>
      <c r="M52" s="174"/>
      <c r="N52" s="728"/>
      <c r="O52" s="171"/>
      <c r="P52" s="712"/>
      <c r="Q52" s="706"/>
      <c r="R52" s="727"/>
      <c r="S52" s="728"/>
      <c r="T52" s="728"/>
      <c r="U52" s="729"/>
    </row>
    <row r="53" spans="1:21" ht="32.25" hidden="1" customHeight="1">
      <c r="A53" s="15" t="s">
        <v>682</v>
      </c>
      <c r="B53" s="597" t="s">
        <v>546</v>
      </c>
      <c r="C53" s="963"/>
      <c r="D53" s="173"/>
      <c r="E53" s="608"/>
      <c r="F53" s="608"/>
      <c r="G53" s="609"/>
      <c r="H53" s="740"/>
      <c r="I53" s="741"/>
      <c r="J53" s="741"/>
      <c r="K53" s="742"/>
      <c r="L53" s="696" t="s">
        <v>482</v>
      </c>
      <c r="M53" s="174"/>
      <c r="N53" s="728">
        <f t="shared" si="3"/>
        <v>0</v>
      </c>
      <c r="O53" s="171"/>
      <c r="P53" s="712"/>
      <c r="Q53" s="706"/>
      <c r="R53" s="727"/>
      <c r="S53" s="728"/>
      <c r="T53" s="728"/>
      <c r="U53" s="729"/>
    </row>
    <row r="54" spans="1:21" ht="22.5">
      <c r="A54" s="15" t="s">
        <v>7</v>
      </c>
      <c r="B54" s="108" t="s">
        <v>164</v>
      </c>
      <c r="C54" s="962" t="s">
        <v>156</v>
      </c>
      <c r="D54" s="162">
        <v>1080</v>
      </c>
      <c r="E54" s="166">
        <f>+D54</f>
        <v>1080</v>
      </c>
      <c r="F54" s="166"/>
      <c r="G54" s="164"/>
      <c r="H54" s="740"/>
      <c r="I54" s="741"/>
      <c r="J54" s="741"/>
      <c r="K54" s="742"/>
      <c r="L54" s="361"/>
      <c r="M54" s="727"/>
      <c r="N54" s="728"/>
      <c r="O54" s="728"/>
      <c r="P54" s="729"/>
      <c r="Q54" s="69"/>
      <c r="R54" s="727"/>
      <c r="S54" s="728"/>
      <c r="T54" s="728"/>
      <c r="U54" s="729"/>
    </row>
    <row r="55" spans="1:21" ht="22.5">
      <c r="A55" s="15" t="s">
        <v>8</v>
      </c>
      <c r="B55" s="108" t="s">
        <v>163</v>
      </c>
      <c r="C55" s="962" t="s">
        <v>156</v>
      </c>
      <c r="D55" s="162">
        <v>10000</v>
      </c>
      <c r="E55" s="846">
        <f t="shared" ref="E55:E57" si="5">+D55</f>
        <v>10000</v>
      </c>
      <c r="F55" s="166"/>
      <c r="G55" s="164"/>
      <c r="H55" s="740"/>
      <c r="I55" s="741"/>
      <c r="J55" s="741"/>
      <c r="K55" s="742"/>
      <c r="L55" s="361"/>
      <c r="M55" s="727"/>
      <c r="N55" s="728"/>
      <c r="O55" s="728"/>
      <c r="P55" s="729"/>
      <c r="Q55" s="69"/>
      <c r="R55" s="727"/>
      <c r="S55" s="728"/>
      <c r="T55" s="728"/>
      <c r="U55" s="729"/>
    </row>
    <row r="56" spans="1:21" ht="14.25" customHeight="1">
      <c r="A56" s="15" t="s">
        <v>9</v>
      </c>
      <c r="B56" s="108" t="s">
        <v>356</v>
      </c>
      <c r="C56" s="962" t="s">
        <v>156</v>
      </c>
      <c r="D56" s="162">
        <v>200</v>
      </c>
      <c r="E56" s="846">
        <f t="shared" si="5"/>
        <v>200</v>
      </c>
      <c r="F56" s="178"/>
      <c r="G56" s="164"/>
      <c r="H56" s="740"/>
      <c r="I56" s="741"/>
      <c r="J56" s="741"/>
      <c r="K56" s="742"/>
      <c r="L56" s="361"/>
      <c r="M56" s="727"/>
      <c r="N56" s="728"/>
      <c r="O56" s="728"/>
      <c r="P56" s="729"/>
      <c r="Q56" s="69"/>
      <c r="R56" s="727"/>
      <c r="S56" s="728"/>
      <c r="T56" s="728"/>
      <c r="U56" s="729"/>
    </row>
    <row r="57" spans="1:21" ht="15" customHeight="1">
      <c r="A57" s="15" t="s">
        <v>12</v>
      </c>
      <c r="B57" s="108" t="s">
        <v>382</v>
      </c>
      <c r="C57" s="962" t="s">
        <v>156</v>
      </c>
      <c r="D57" s="162">
        <v>24000</v>
      </c>
      <c r="E57" s="846">
        <f t="shared" si="5"/>
        <v>24000</v>
      </c>
      <c r="F57" s="166"/>
      <c r="G57" s="164"/>
      <c r="H57" s="740"/>
      <c r="I57" s="741"/>
      <c r="J57" s="741"/>
      <c r="K57" s="742"/>
      <c r="L57" s="361"/>
      <c r="M57" s="727"/>
      <c r="N57" s="728"/>
      <c r="O57" s="728"/>
      <c r="P57" s="729"/>
      <c r="Q57" s="69"/>
      <c r="R57" s="727"/>
      <c r="S57" s="728"/>
      <c r="T57" s="728"/>
      <c r="U57" s="729"/>
    </row>
    <row r="58" spans="1:21" ht="26.25" customHeight="1">
      <c r="A58" s="15" t="s">
        <v>160</v>
      </c>
      <c r="B58" s="108" t="s">
        <v>468</v>
      </c>
      <c r="C58" s="962" t="s">
        <v>156</v>
      </c>
      <c r="D58" s="162">
        <v>24000</v>
      </c>
      <c r="E58" s="166">
        <f>D58-G58</f>
        <v>700</v>
      </c>
      <c r="F58" s="166"/>
      <c r="G58" s="164">
        <v>23300</v>
      </c>
      <c r="H58" s="740"/>
      <c r="I58" s="741"/>
      <c r="J58" s="741"/>
      <c r="K58" s="742"/>
      <c r="L58" s="361"/>
      <c r="M58" s="727"/>
      <c r="N58" s="728"/>
      <c r="O58" s="728"/>
      <c r="P58" s="729"/>
      <c r="Q58" s="69"/>
      <c r="R58" s="727"/>
      <c r="S58" s="728"/>
      <c r="T58" s="728"/>
      <c r="U58" s="729"/>
    </row>
    <row r="59" spans="1:21" ht="25.5" customHeight="1" thickBot="1">
      <c r="A59" s="930" t="s">
        <v>159</v>
      </c>
      <c r="B59" s="905" t="s">
        <v>606</v>
      </c>
      <c r="C59" s="972" t="s">
        <v>94</v>
      </c>
      <c r="D59" s="973">
        <v>36000</v>
      </c>
      <c r="E59" s="551">
        <f>+D59</f>
        <v>36000</v>
      </c>
      <c r="F59" s="551"/>
      <c r="G59" s="212"/>
      <c r="H59" s="550"/>
      <c r="I59" s="551"/>
      <c r="J59" s="551"/>
      <c r="K59" s="860"/>
      <c r="L59" s="646"/>
      <c r="M59" s="550"/>
      <c r="N59" s="551"/>
      <c r="O59" s="551"/>
      <c r="P59" s="860"/>
      <c r="Q59" s="647"/>
      <c r="R59" s="550"/>
      <c r="S59" s="551"/>
      <c r="T59" s="551"/>
      <c r="U59" s="860"/>
    </row>
    <row r="60" spans="1:21" ht="36">
      <c r="A60" s="382" t="s">
        <v>403</v>
      </c>
      <c r="B60" s="890" t="s">
        <v>579</v>
      </c>
      <c r="C60" s="974" t="s">
        <v>156</v>
      </c>
      <c r="D60" s="975">
        <f>SUM(D62)</f>
        <v>10000</v>
      </c>
      <c r="E60" s="975">
        <f t="shared" ref="E60:T60" si="6">SUM(E62)</f>
        <v>10000</v>
      </c>
      <c r="F60" s="975">
        <f t="shared" si="6"/>
        <v>0</v>
      </c>
      <c r="G60" s="976">
        <f t="shared" si="6"/>
        <v>0</v>
      </c>
      <c r="H60" s="977">
        <f t="shared" si="6"/>
        <v>0</v>
      </c>
      <c r="I60" s="978">
        <f t="shared" si="6"/>
        <v>0</v>
      </c>
      <c r="J60" s="978">
        <f t="shared" si="6"/>
        <v>0</v>
      </c>
      <c r="K60" s="979">
        <f t="shared" si="6"/>
        <v>0</v>
      </c>
      <c r="L60" s="976">
        <f t="shared" si="6"/>
        <v>0</v>
      </c>
      <c r="M60" s="977">
        <f t="shared" si="6"/>
        <v>0</v>
      </c>
      <c r="N60" s="978">
        <f t="shared" si="6"/>
        <v>0</v>
      </c>
      <c r="O60" s="978">
        <f t="shared" si="6"/>
        <v>0</v>
      </c>
      <c r="P60" s="979">
        <f t="shared" si="6"/>
        <v>0</v>
      </c>
      <c r="Q60" s="976">
        <f t="shared" si="6"/>
        <v>0</v>
      </c>
      <c r="R60" s="977">
        <f t="shared" si="6"/>
        <v>0</v>
      </c>
      <c r="S60" s="978">
        <f t="shared" si="6"/>
        <v>0</v>
      </c>
      <c r="T60" s="978">
        <f t="shared" si="6"/>
        <v>0</v>
      </c>
      <c r="U60" s="979">
        <f>SUM(U62)</f>
        <v>0</v>
      </c>
    </row>
    <row r="61" spans="1:21">
      <c r="A61" s="848"/>
      <c r="B61" s="108" t="s">
        <v>152</v>
      </c>
      <c r="C61" s="962"/>
      <c r="D61" s="162"/>
      <c r="E61" s="854"/>
      <c r="F61" s="854"/>
      <c r="G61" s="858"/>
      <c r="H61" s="853"/>
      <c r="I61" s="854"/>
      <c r="J61" s="854"/>
      <c r="K61" s="855"/>
      <c r="L61" s="360"/>
      <c r="M61" s="853"/>
      <c r="N61" s="854"/>
      <c r="O61" s="854"/>
      <c r="P61" s="855"/>
      <c r="Q61" s="77"/>
      <c r="R61" s="853"/>
      <c r="S61" s="854"/>
      <c r="T61" s="854"/>
      <c r="U61" s="855"/>
    </row>
    <row r="62" spans="1:21" ht="25.5" customHeight="1" thickBot="1">
      <c r="A62" s="769" t="s">
        <v>404</v>
      </c>
      <c r="B62" s="980" t="s">
        <v>598</v>
      </c>
      <c r="C62" s="981" t="s">
        <v>156</v>
      </c>
      <c r="D62" s="952">
        <v>10000</v>
      </c>
      <c r="E62" s="303">
        <f>+D62</f>
        <v>10000</v>
      </c>
      <c r="F62" s="303"/>
      <c r="G62" s="304"/>
      <c r="H62" s="302"/>
      <c r="I62" s="303"/>
      <c r="J62" s="303"/>
      <c r="K62" s="305"/>
      <c r="L62" s="918"/>
      <c r="M62" s="302"/>
      <c r="N62" s="303"/>
      <c r="O62" s="303"/>
      <c r="P62" s="305"/>
      <c r="Q62" s="919"/>
      <c r="R62" s="302"/>
      <c r="S62" s="303"/>
      <c r="T62" s="303"/>
      <c r="U62" s="305"/>
    </row>
    <row r="63" spans="1:21" ht="36">
      <c r="A63" s="382" t="s">
        <v>157</v>
      </c>
      <c r="B63" s="890" t="s">
        <v>578</v>
      </c>
      <c r="C63" s="974" t="s">
        <v>156</v>
      </c>
      <c r="D63" s="975">
        <f>SUM(D65:D66)</f>
        <v>17718</v>
      </c>
      <c r="E63" s="975">
        <f t="shared" ref="E63:U63" si="7">SUM(E65:E66)</f>
        <v>12718</v>
      </c>
      <c r="F63" s="975">
        <f t="shared" si="7"/>
        <v>0</v>
      </c>
      <c r="G63" s="976">
        <f t="shared" si="7"/>
        <v>5000</v>
      </c>
      <c r="H63" s="977">
        <f t="shared" si="7"/>
        <v>0</v>
      </c>
      <c r="I63" s="978">
        <f t="shared" si="7"/>
        <v>0</v>
      </c>
      <c r="J63" s="978">
        <f t="shared" si="7"/>
        <v>0</v>
      </c>
      <c r="K63" s="979">
        <f t="shared" si="7"/>
        <v>0</v>
      </c>
      <c r="L63" s="976">
        <f t="shared" si="7"/>
        <v>0</v>
      </c>
      <c r="M63" s="977">
        <f t="shared" si="7"/>
        <v>0</v>
      </c>
      <c r="N63" s="978">
        <f t="shared" si="7"/>
        <v>0</v>
      </c>
      <c r="O63" s="978">
        <f t="shared" si="7"/>
        <v>0</v>
      </c>
      <c r="P63" s="979">
        <f t="shared" si="7"/>
        <v>0</v>
      </c>
      <c r="Q63" s="976">
        <f t="shared" si="7"/>
        <v>0</v>
      </c>
      <c r="R63" s="977">
        <f t="shared" si="7"/>
        <v>0</v>
      </c>
      <c r="S63" s="978">
        <f t="shared" si="7"/>
        <v>0</v>
      </c>
      <c r="T63" s="978">
        <f t="shared" si="7"/>
        <v>0</v>
      </c>
      <c r="U63" s="979">
        <f t="shared" si="7"/>
        <v>0</v>
      </c>
    </row>
    <row r="64" spans="1:21">
      <c r="A64" s="848"/>
      <c r="B64" s="108" t="s">
        <v>152</v>
      </c>
      <c r="C64" s="962"/>
      <c r="D64" s="162"/>
      <c r="E64" s="854"/>
      <c r="F64" s="854"/>
      <c r="G64" s="858"/>
      <c r="H64" s="853"/>
      <c r="I64" s="854"/>
      <c r="J64" s="854"/>
      <c r="K64" s="855"/>
      <c r="L64" s="360"/>
      <c r="M64" s="853"/>
      <c r="N64" s="854"/>
      <c r="O64" s="854"/>
      <c r="P64" s="855"/>
      <c r="Q64" s="77"/>
      <c r="R64" s="853"/>
      <c r="S64" s="854"/>
      <c r="T64" s="854"/>
      <c r="U64" s="855"/>
    </row>
    <row r="65" spans="1:21" ht="22.5">
      <c r="A65" s="15" t="s">
        <v>155</v>
      </c>
      <c r="B65" s="108" t="s">
        <v>158</v>
      </c>
      <c r="C65" s="962" t="s">
        <v>89</v>
      </c>
      <c r="D65" s="162">
        <v>12718</v>
      </c>
      <c r="E65" s="854">
        <f>+D65</f>
        <v>12718</v>
      </c>
      <c r="F65" s="854"/>
      <c r="G65" s="858"/>
      <c r="H65" s="853"/>
      <c r="I65" s="854"/>
      <c r="J65" s="854"/>
      <c r="K65" s="855"/>
      <c r="L65" s="361"/>
      <c r="M65" s="853"/>
      <c r="N65" s="854"/>
      <c r="O65" s="854"/>
      <c r="P65" s="855"/>
      <c r="Q65" s="69"/>
      <c r="R65" s="853"/>
      <c r="S65" s="854"/>
      <c r="T65" s="854"/>
      <c r="U65" s="855"/>
    </row>
    <row r="66" spans="1:21" ht="28.5" customHeight="1" thickBot="1">
      <c r="A66" s="769" t="s">
        <v>154</v>
      </c>
      <c r="B66" s="892" t="s">
        <v>605</v>
      </c>
      <c r="C66" s="981" t="s">
        <v>156</v>
      </c>
      <c r="D66" s="952">
        <v>5000</v>
      </c>
      <c r="E66" s="303"/>
      <c r="F66" s="303"/>
      <c r="G66" s="304">
        <v>5000</v>
      </c>
      <c r="H66" s="302"/>
      <c r="I66" s="303"/>
      <c r="J66" s="303"/>
      <c r="K66" s="305"/>
      <c r="L66" s="918"/>
      <c r="M66" s="302"/>
      <c r="N66" s="303"/>
      <c r="O66" s="303"/>
      <c r="P66" s="305"/>
      <c r="Q66" s="919"/>
      <c r="R66" s="302"/>
      <c r="S66" s="303"/>
      <c r="T66" s="303"/>
      <c r="U66" s="305"/>
    </row>
    <row r="67" spans="1:21" ht="36">
      <c r="A67" s="382" t="s">
        <v>153</v>
      </c>
      <c r="B67" s="890" t="s">
        <v>576</v>
      </c>
      <c r="C67" s="974" t="s">
        <v>156</v>
      </c>
      <c r="D67" s="975">
        <f>SUM(D69:D72)</f>
        <v>61670</v>
      </c>
      <c r="E67" s="975">
        <f t="shared" ref="E67:U67" si="8">SUM(E69:E72)</f>
        <v>61670</v>
      </c>
      <c r="F67" s="975">
        <f t="shared" si="8"/>
        <v>0</v>
      </c>
      <c r="G67" s="976">
        <f t="shared" si="8"/>
        <v>0</v>
      </c>
      <c r="H67" s="977">
        <f t="shared" si="8"/>
        <v>0</v>
      </c>
      <c r="I67" s="978">
        <f t="shared" si="8"/>
        <v>0</v>
      </c>
      <c r="J67" s="978">
        <f t="shared" si="8"/>
        <v>0</v>
      </c>
      <c r="K67" s="979">
        <f t="shared" si="8"/>
        <v>0</v>
      </c>
      <c r="L67" s="976">
        <f t="shared" si="8"/>
        <v>0</v>
      </c>
      <c r="M67" s="977">
        <f t="shared" si="8"/>
        <v>0</v>
      </c>
      <c r="N67" s="978">
        <f t="shared" si="8"/>
        <v>0</v>
      </c>
      <c r="O67" s="978">
        <f t="shared" si="8"/>
        <v>0</v>
      </c>
      <c r="P67" s="979">
        <f t="shared" si="8"/>
        <v>0</v>
      </c>
      <c r="Q67" s="976">
        <f t="shared" si="8"/>
        <v>0</v>
      </c>
      <c r="R67" s="977">
        <f t="shared" si="8"/>
        <v>0</v>
      </c>
      <c r="S67" s="978">
        <f t="shared" si="8"/>
        <v>0</v>
      </c>
      <c r="T67" s="978">
        <f t="shared" si="8"/>
        <v>0</v>
      </c>
      <c r="U67" s="979">
        <f t="shared" si="8"/>
        <v>0</v>
      </c>
    </row>
    <row r="68" spans="1:21">
      <c r="A68" s="848"/>
      <c r="B68" s="108" t="s">
        <v>152</v>
      </c>
      <c r="C68" s="962"/>
      <c r="D68" s="162"/>
      <c r="E68" s="854"/>
      <c r="F68" s="854"/>
      <c r="G68" s="858"/>
      <c r="H68" s="853"/>
      <c r="I68" s="854"/>
      <c r="J68" s="854"/>
      <c r="K68" s="855"/>
      <c r="L68" s="360"/>
      <c r="M68" s="853"/>
      <c r="N68" s="854"/>
      <c r="O68" s="854"/>
      <c r="P68" s="855"/>
      <c r="Q68" s="77"/>
      <c r="R68" s="853"/>
      <c r="S68" s="854"/>
      <c r="T68" s="854"/>
      <c r="U68" s="855"/>
    </row>
    <row r="69" spans="1:21" ht="16.5" customHeight="1">
      <c r="A69" s="15" t="s">
        <v>581</v>
      </c>
      <c r="B69" s="108" t="s">
        <v>162</v>
      </c>
      <c r="C69" s="962" t="s">
        <v>156</v>
      </c>
      <c r="D69" s="301">
        <f>40500+4110+5000</f>
        <v>49610</v>
      </c>
      <c r="E69" s="854">
        <f>+D69</f>
        <v>49610</v>
      </c>
      <c r="F69" s="854"/>
      <c r="G69" s="858"/>
      <c r="H69" s="853"/>
      <c r="I69" s="854"/>
      <c r="J69" s="854"/>
      <c r="K69" s="855"/>
      <c r="L69" s="361"/>
      <c r="M69" s="853"/>
      <c r="N69" s="854"/>
      <c r="O69" s="854"/>
      <c r="P69" s="855"/>
      <c r="Q69" s="69"/>
      <c r="R69" s="853"/>
      <c r="S69" s="854"/>
      <c r="T69" s="854"/>
      <c r="U69" s="855"/>
    </row>
    <row r="70" spans="1:21" ht="51.75" customHeight="1">
      <c r="A70" s="15" t="s">
        <v>582</v>
      </c>
      <c r="B70" s="108" t="s">
        <v>603</v>
      </c>
      <c r="C70" s="962"/>
      <c r="D70" s="301">
        <v>900</v>
      </c>
      <c r="E70" s="854">
        <f t="shared" ref="E70:E72" si="9">+D70</f>
        <v>900</v>
      </c>
      <c r="F70" s="854"/>
      <c r="G70" s="858"/>
      <c r="H70" s="853"/>
      <c r="I70" s="854"/>
      <c r="J70" s="854"/>
      <c r="K70" s="855"/>
      <c r="L70" s="361"/>
      <c r="M70" s="853"/>
      <c r="N70" s="854"/>
      <c r="O70" s="854"/>
      <c r="P70" s="855"/>
      <c r="Q70" s="69"/>
      <c r="R70" s="853"/>
      <c r="S70" s="854"/>
      <c r="T70" s="854"/>
      <c r="U70" s="855"/>
    </row>
    <row r="71" spans="1:21" ht="40.5" customHeight="1">
      <c r="A71" s="15" t="s">
        <v>683</v>
      </c>
      <c r="B71" s="108" t="s">
        <v>604</v>
      </c>
      <c r="C71" s="962"/>
      <c r="D71" s="301">
        <f>15000-4110</f>
        <v>10890</v>
      </c>
      <c r="E71" s="854">
        <f t="shared" si="9"/>
        <v>10890</v>
      </c>
      <c r="F71" s="854"/>
      <c r="G71" s="858"/>
      <c r="H71" s="853"/>
      <c r="I71" s="854"/>
      <c r="J71" s="854"/>
      <c r="K71" s="855"/>
      <c r="L71" s="361"/>
      <c r="M71" s="853"/>
      <c r="N71" s="854"/>
      <c r="O71" s="854"/>
      <c r="P71" s="855"/>
      <c r="Q71" s="69"/>
      <c r="R71" s="853"/>
      <c r="S71" s="854"/>
      <c r="T71" s="854"/>
      <c r="U71" s="855"/>
    </row>
    <row r="72" spans="1:21" ht="23.25" thickBot="1">
      <c r="A72" s="769" t="s">
        <v>684</v>
      </c>
      <c r="B72" s="892" t="s">
        <v>161</v>
      </c>
      <c r="C72" s="981" t="s">
        <v>357</v>
      </c>
      <c r="D72" s="952">
        <v>270</v>
      </c>
      <c r="E72" s="303">
        <f t="shared" si="9"/>
        <v>270</v>
      </c>
      <c r="F72" s="303"/>
      <c r="G72" s="304"/>
      <c r="H72" s="302"/>
      <c r="I72" s="303"/>
      <c r="J72" s="303"/>
      <c r="K72" s="305"/>
      <c r="L72" s="918"/>
      <c r="M72" s="302"/>
      <c r="N72" s="303"/>
      <c r="O72" s="303"/>
      <c r="P72" s="305"/>
      <c r="Q72" s="919"/>
      <c r="R72" s="302"/>
      <c r="S72" s="303"/>
      <c r="T72" s="303"/>
      <c r="U72" s="305"/>
    </row>
    <row r="73" spans="1:21" ht="36">
      <c r="A73" s="382" t="s">
        <v>685</v>
      </c>
      <c r="B73" s="890" t="s">
        <v>577</v>
      </c>
      <c r="C73" s="974" t="s">
        <v>156</v>
      </c>
      <c r="D73" s="975">
        <f>SUM(D75:D77)</f>
        <v>35400</v>
      </c>
      <c r="E73" s="975">
        <f t="shared" ref="E73:U73" si="10">SUM(E75:E77)</f>
        <v>35400</v>
      </c>
      <c r="F73" s="975">
        <f t="shared" si="10"/>
        <v>0</v>
      </c>
      <c r="G73" s="976">
        <f t="shared" si="10"/>
        <v>0</v>
      </c>
      <c r="H73" s="977">
        <f t="shared" si="10"/>
        <v>0</v>
      </c>
      <c r="I73" s="978">
        <f t="shared" si="10"/>
        <v>0</v>
      </c>
      <c r="J73" s="978">
        <f t="shared" si="10"/>
        <v>0</v>
      </c>
      <c r="K73" s="979">
        <f t="shared" si="10"/>
        <v>0</v>
      </c>
      <c r="L73" s="976">
        <f t="shared" si="10"/>
        <v>0</v>
      </c>
      <c r="M73" s="977">
        <f t="shared" si="10"/>
        <v>0</v>
      </c>
      <c r="N73" s="978">
        <f t="shared" si="10"/>
        <v>0</v>
      </c>
      <c r="O73" s="978">
        <f t="shared" si="10"/>
        <v>0</v>
      </c>
      <c r="P73" s="979">
        <f t="shared" si="10"/>
        <v>0</v>
      </c>
      <c r="Q73" s="976">
        <f t="shared" si="10"/>
        <v>0</v>
      </c>
      <c r="R73" s="977">
        <f t="shared" si="10"/>
        <v>0</v>
      </c>
      <c r="S73" s="978">
        <f t="shared" si="10"/>
        <v>0</v>
      </c>
      <c r="T73" s="978">
        <f t="shared" si="10"/>
        <v>0</v>
      </c>
      <c r="U73" s="979">
        <f t="shared" si="10"/>
        <v>0</v>
      </c>
    </row>
    <row r="74" spans="1:21">
      <c r="A74" s="848"/>
      <c r="B74" s="108" t="s">
        <v>152</v>
      </c>
      <c r="C74" s="962"/>
      <c r="D74" s="162"/>
      <c r="E74" s="854"/>
      <c r="F74" s="854"/>
      <c r="G74" s="858"/>
      <c r="H74" s="853"/>
      <c r="I74" s="854"/>
      <c r="J74" s="854"/>
      <c r="K74" s="855"/>
      <c r="L74" s="360"/>
      <c r="M74" s="853"/>
      <c r="N74" s="854"/>
      <c r="O74" s="854"/>
      <c r="P74" s="855"/>
      <c r="Q74" s="77"/>
      <c r="R74" s="853"/>
      <c r="S74" s="854"/>
      <c r="T74" s="854"/>
      <c r="U74" s="855"/>
    </row>
    <row r="75" spans="1:21">
      <c r="A75" s="15" t="s">
        <v>686</v>
      </c>
      <c r="B75" s="108" t="s">
        <v>320</v>
      </c>
      <c r="C75" s="962" t="s">
        <v>156</v>
      </c>
      <c r="D75" s="162">
        <v>1800</v>
      </c>
      <c r="E75" s="854">
        <f>+D75</f>
        <v>1800</v>
      </c>
      <c r="F75" s="854"/>
      <c r="G75" s="858"/>
      <c r="H75" s="853"/>
      <c r="I75" s="854"/>
      <c r="J75" s="854"/>
      <c r="K75" s="855"/>
      <c r="L75" s="361"/>
      <c r="M75" s="853"/>
      <c r="N75" s="854"/>
      <c r="O75" s="854"/>
      <c r="P75" s="855"/>
      <c r="Q75" s="69"/>
      <c r="R75" s="853"/>
      <c r="S75" s="854"/>
      <c r="T75" s="854"/>
      <c r="U75" s="855"/>
    </row>
    <row r="76" spans="1:21" ht="22.5">
      <c r="A76" s="15" t="s">
        <v>687</v>
      </c>
      <c r="B76" s="108" t="s">
        <v>188</v>
      </c>
      <c r="C76" s="962" t="s">
        <v>357</v>
      </c>
      <c r="D76" s="162">
        <v>12000</v>
      </c>
      <c r="E76" s="854">
        <f t="shared" ref="E76:E77" si="11">+D76</f>
        <v>12000</v>
      </c>
      <c r="F76" s="854"/>
      <c r="G76" s="858"/>
      <c r="H76" s="853"/>
      <c r="I76" s="854"/>
      <c r="J76" s="854"/>
      <c r="K76" s="855"/>
      <c r="L76" s="361"/>
      <c r="M76" s="853"/>
      <c r="N76" s="854"/>
      <c r="O76" s="854"/>
      <c r="P76" s="855"/>
      <c r="Q76" s="69"/>
      <c r="R76" s="853"/>
      <c r="S76" s="854"/>
      <c r="T76" s="854"/>
      <c r="U76" s="855"/>
    </row>
    <row r="77" spans="1:21" ht="41.25" customHeight="1" thickBot="1">
      <c r="A77" s="769" t="s">
        <v>688</v>
      </c>
      <c r="B77" s="892" t="s">
        <v>600</v>
      </c>
      <c r="C77" s="981" t="s">
        <v>156</v>
      </c>
      <c r="D77" s="952">
        <v>21600</v>
      </c>
      <c r="E77" s="303">
        <f t="shared" si="11"/>
        <v>21600</v>
      </c>
      <c r="F77" s="303"/>
      <c r="G77" s="304"/>
      <c r="H77" s="302"/>
      <c r="I77" s="303"/>
      <c r="J77" s="303"/>
      <c r="K77" s="305"/>
      <c r="L77" s="918"/>
      <c r="M77" s="302"/>
      <c r="N77" s="303"/>
      <c r="O77" s="303"/>
      <c r="P77" s="305"/>
      <c r="Q77" s="919"/>
      <c r="R77" s="302"/>
      <c r="S77" s="303"/>
      <c r="T77" s="303"/>
      <c r="U77" s="305"/>
    </row>
    <row r="78" spans="1:21" ht="36">
      <c r="A78" s="382" t="s">
        <v>402</v>
      </c>
      <c r="B78" s="890" t="s">
        <v>176</v>
      </c>
      <c r="C78" s="974" t="s">
        <v>156</v>
      </c>
      <c r="D78" s="975">
        <f>SUM(D80:D80)</f>
        <v>1771300</v>
      </c>
      <c r="E78" s="982">
        <f>SUM(E80:E80)</f>
        <v>90000</v>
      </c>
      <c r="F78" s="982">
        <f>SUM(F80:F80)</f>
        <v>0</v>
      </c>
      <c r="G78" s="983">
        <f>SUM(G80:G80)</f>
        <v>1681300</v>
      </c>
      <c r="H78" s="984">
        <f>SUM(H80:H80,)</f>
        <v>0</v>
      </c>
      <c r="I78" s="982">
        <f>SUM(I80:I80,)</f>
        <v>0</v>
      </c>
      <c r="J78" s="982">
        <f>SUM(J80:J80,)</f>
        <v>0</v>
      </c>
      <c r="K78" s="985">
        <f>SUM(K80:K80,)</f>
        <v>0</v>
      </c>
      <c r="L78" s="373"/>
      <c r="M78" s="984">
        <f>SUM(M80:M80,)</f>
        <v>0</v>
      </c>
      <c r="N78" s="982">
        <f>SUM(N80:N80,)</f>
        <v>0</v>
      </c>
      <c r="O78" s="982">
        <f>SUM(O80:O80,)</f>
        <v>0</v>
      </c>
      <c r="P78" s="985">
        <f>SUM(P80:P80,)</f>
        <v>0</v>
      </c>
      <c r="Q78" s="70"/>
      <c r="R78" s="984">
        <f>SUM(R80:R80,)</f>
        <v>0</v>
      </c>
      <c r="S78" s="982">
        <f>SUM(S80:S80,)</f>
        <v>0</v>
      </c>
      <c r="T78" s="982">
        <f>SUM(T80:T80,)</f>
        <v>0</v>
      </c>
      <c r="U78" s="985">
        <f>SUM(U80:U80,)</f>
        <v>0</v>
      </c>
    </row>
    <row r="79" spans="1:21">
      <c r="A79" s="848"/>
      <c r="B79" s="108" t="s">
        <v>152</v>
      </c>
      <c r="C79" s="962"/>
      <c r="D79" s="162"/>
      <c r="E79" s="854"/>
      <c r="F79" s="854"/>
      <c r="G79" s="858"/>
      <c r="H79" s="853"/>
      <c r="I79" s="854"/>
      <c r="J79" s="854"/>
      <c r="K79" s="855"/>
      <c r="L79" s="360"/>
      <c r="M79" s="853"/>
      <c r="N79" s="854"/>
      <c r="O79" s="854"/>
      <c r="P79" s="855"/>
      <c r="Q79" s="77"/>
      <c r="R79" s="853"/>
      <c r="S79" s="854"/>
      <c r="T79" s="854"/>
      <c r="U79" s="855"/>
    </row>
    <row r="80" spans="1:21" ht="26.25" customHeight="1" thickBot="1">
      <c r="A80" s="14" t="s">
        <v>583</v>
      </c>
      <c r="B80" s="892" t="s">
        <v>264</v>
      </c>
      <c r="C80" s="981" t="s">
        <v>156</v>
      </c>
      <c r="D80" s="952">
        <f>1786300-15000</f>
        <v>1771300</v>
      </c>
      <c r="E80" s="303">
        <f>D80-G80</f>
        <v>90000</v>
      </c>
      <c r="F80" s="303"/>
      <c r="G80" s="552">
        <v>1681300</v>
      </c>
      <c r="H80" s="302"/>
      <c r="I80" s="303"/>
      <c r="J80" s="303"/>
      <c r="K80" s="305"/>
      <c r="L80" s="918"/>
      <c r="M80" s="302"/>
      <c r="N80" s="303"/>
      <c r="O80" s="303"/>
      <c r="P80" s="305"/>
      <c r="Q80" s="919"/>
      <c r="R80" s="302"/>
      <c r="S80" s="303"/>
      <c r="T80" s="303"/>
      <c r="U80" s="305"/>
    </row>
    <row r="81" spans="1:21" ht="53.25" customHeight="1">
      <c r="A81" s="382" t="s">
        <v>405</v>
      </c>
      <c r="B81" s="890" t="s">
        <v>458</v>
      </c>
      <c r="C81" s="974"/>
      <c r="D81" s="986">
        <f t="shared" ref="D81:U81" si="12">SUM(D83:D85)</f>
        <v>654300</v>
      </c>
      <c r="E81" s="982">
        <f t="shared" si="12"/>
        <v>654300</v>
      </c>
      <c r="F81" s="982">
        <f t="shared" si="12"/>
        <v>0</v>
      </c>
      <c r="G81" s="983">
        <f t="shared" si="12"/>
        <v>0</v>
      </c>
      <c r="H81" s="984">
        <f t="shared" si="12"/>
        <v>0</v>
      </c>
      <c r="I81" s="982">
        <f t="shared" si="12"/>
        <v>0</v>
      </c>
      <c r="J81" s="982">
        <f t="shared" si="12"/>
        <v>0</v>
      </c>
      <c r="K81" s="985">
        <f t="shared" si="12"/>
        <v>0</v>
      </c>
      <c r="L81" s="373"/>
      <c r="M81" s="984">
        <f t="shared" si="12"/>
        <v>0</v>
      </c>
      <c r="N81" s="982">
        <f t="shared" si="12"/>
        <v>0</v>
      </c>
      <c r="O81" s="982">
        <f t="shared" si="12"/>
        <v>0</v>
      </c>
      <c r="P81" s="985">
        <f t="shared" si="12"/>
        <v>0</v>
      </c>
      <c r="Q81" s="70"/>
      <c r="R81" s="984">
        <f t="shared" si="12"/>
        <v>0</v>
      </c>
      <c r="S81" s="982">
        <f t="shared" si="12"/>
        <v>0</v>
      </c>
      <c r="T81" s="982">
        <f t="shared" si="12"/>
        <v>0</v>
      </c>
      <c r="U81" s="985">
        <f t="shared" si="12"/>
        <v>0</v>
      </c>
    </row>
    <row r="82" spans="1:21">
      <c r="A82" s="848"/>
      <c r="B82" s="108" t="s">
        <v>152</v>
      </c>
      <c r="C82" s="964"/>
      <c r="D82" s="179"/>
      <c r="E82" s="180"/>
      <c r="F82" s="180"/>
      <c r="G82" s="181"/>
      <c r="H82" s="182"/>
      <c r="I82" s="180"/>
      <c r="J82" s="180"/>
      <c r="K82" s="183"/>
      <c r="L82" s="360"/>
      <c r="M82" s="182"/>
      <c r="N82" s="180"/>
      <c r="O82" s="180"/>
      <c r="P82" s="183"/>
      <c r="Q82" s="77"/>
      <c r="R82" s="182"/>
      <c r="S82" s="180"/>
      <c r="T82" s="180"/>
      <c r="U82" s="183"/>
    </row>
    <row r="83" spans="1:21" ht="22.5">
      <c r="A83" s="848" t="s">
        <v>584</v>
      </c>
      <c r="B83" s="108" t="s">
        <v>580</v>
      </c>
      <c r="C83" s="962" t="s">
        <v>349</v>
      </c>
      <c r="D83" s="173">
        <v>405000</v>
      </c>
      <c r="E83" s="854">
        <f>+D83</f>
        <v>405000</v>
      </c>
      <c r="F83" s="854"/>
      <c r="G83" s="858"/>
      <c r="H83" s="853"/>
      <c r="I83" s="854"/>
      <c r="J83" s="854"/>
      <c r="K83" s="855"/>
      <c r="L83" s="361"/>
      <c r="M83" s="853"/>
      <c r="N83" s="854"/>
      <c r="O83" s="854"/>
      <c r="P83" s="855"/>
      <c r="Q83" s="69"/>
      <c r="R83" s="853"/>
      <c r="S83" s="854"/>
      <c r="T83" s="854"/>
      <c r="U83" s="855"/>
    </row>
    <row r="84" spans="1:21" ht="22.5">
      <c r="A84" s="848" t="s">
        <v>689</v>
      </c>
      <c r="B84" s="108" t="s">
        <v>151</v>
      </c>
      <c r="C84" s="962" t="s">
        <v>355</v>
      </c>
      <c r="D84" s="162">
        <v>24300</v>
      </c>
      <c r="E84" s="854">
        <f t="shared" ref="E84:E85" si="13">+D84</f>
        <v>24300</v>
      </c>
      <c r="F84" s="854"/>
      <c r="G84" s="858"/>
      <c r="H84" s="853"/>
      <c r="I84" s="854"/>
      <c r="J84" s="854"/>
      <c r="K84" s="855"/>
      <c r="L84" s="361"/>
      <c r="M84" s="853"/>
      <c r="N84" s="854"/>
      <c r="O84" s="854"/>
      <c r="P84" s="855"/>
      <c r="Q84" s="69"/>
      <c r="R84" s="853"/>
      <c r="S84" s="854"/>
      <c r="T84" s="854"/>
      <c r="U84" s="855"/>
    </row>
    <row r="85" spans="1:21" ht="33.75" customHeight="1" thickBot="1">
      <c r="A85" s="14" t="s">
        <v>690</v>
      </c>
      <c r="B85" s="892" t="s">
        <v>150</v>
      </c>
      <c r="C85" s="981" t="s">
        <v>89</v>
      </c>
      <c r="D85" s="952">
        <v>225000</v>
      </c>
      <c r="E85" s="303">
        <f t="shared" si="13"/>
        <v>225000</v>
      </c>
      <c r="F85" s="303"/>
      <c r="G85" s="304"/>
      <c r="H85" s="302"/>
      <c r="I85" s="303"/>
      <c r="J85" s="303"/>
      <c r="K85" s="305"/>
      <c r="L85" s="918"/>
      <c r="M85" s="302"/>
      <c r="N85" s="303"/>
      <c r="O85" s="303"/>
      <c r="P85" s="305"/>
      <c r="Q85" s="919"/>
      <c r="R85" s="302"/>
      <c r="S85" s="303"/>
      <c r="T85" s="303"/>
      <c r="U85" s="305"/>
    </row>
    <row r="86" spans="1:21" ht="24.75" thickBot="1">
      <c r="A86" s="1231" t="s">
        <v>406</v>
      </c>
      <c r="B86" s="1286" t="s">
        <v>245</v>
      </c>
      <c r="C86" s="1287" t="s">
        <v>156</v>
      </c>
      <c r="D86" s="1288">
        <f>79380+455</f>
        <v>79835</v>
      </c>
      <c r="E86" s="1289">
        <f>+D86</f>
        <v>79835</v>
      </c>
      <c r="F86" s="1289">
        <v>72900</v>
      </c>
      <c r="G86" s="1290"/>
      <c r="H86" s="1291"/>
      <c r="I86" s="1289"/>
      <c r="J86" s="1289"/>
      <c r="K86" s="1292"/>
      <c r="L86" s="1293"/>
      <c r="M86" s="1291"/>
      <c r="N86" s="1289"/>
      <c r="O86" s="1289"/>
      <c r="P86" s="1292"/>
      <c r="Q86" s="1294"/>
      <c r="R86" s="1291"/>
      <c r="S86" s="1289"/>
      <c r="T86" s="1289"/>
      <c r="U86" s="1292"/>
    </row>
    <row r="87" spans="1:21">
      <c r="A87" s="19"/>
      <c r="B87" s="1279" t="s">
        <v>359</v>
      </c>
      <c r="C87" s="1280"/>
      <c r="D87" s="1281">
        <f>SUM(D89:D101)</f>
        <v>35666</v>
      </c>
      <c r="E87" s="1121">
        <f>SUM(E89:E101)</f>
        <v>35666</v>
      </c>
      <c r="F87" s="1282"/>
      <c r="G87" s="1283"/>
      <c r="H87" s="757"/>
      <c r="I87" s="274"/>
      <c r="J87" s="1282"/>
      <c r="K87" s="1284"/>
      <c r="L87" s="1285"/>
      <c r="M87" s="737"/>
      <c r="N87" s="738"/>
      <c r="O87" s="738"/>
      <c r="P87" s="1284"/>
      <c r="Q87" s="1046"/>
      <c r="R87" s="757"/>
      <c r="S87" s="274"/>
      <c r="T87" s="1282"/>
      <c r="U87" s="1284"/>
    </row>
    <row r="88" spans="1:21">
      <c r="A88" s="848"/>
      <c r="B88" s="968" t="s">
        <v>372</v>
      </c>
      <c r="C88" s="963"/>
      <c r="D88" s="173"/>
      <c r="E88" s="854"/>
      <c r="F88" s="192"/>
      <c r="G88" s="193"/>
      <c r="H88" s="853"/>
      <c r="I88" s="854"/>
      <c r="J88" s="192"/>
      <c r="K88" s="194"/>
      <c r="L88" s="696"/>
      <c r="M88" s="851"/>
      <c r="N88" s="852"/>
      <c r="O88" s="852"/>
      <c r="P88" s="194"/>
      <c r="Q88" s="706"/>
      <c r="R88" s="853"/>
      <c r="S88" s="854"/>
      <c r="T88" s="192"/>
      <c r="U88" s="194"/>
    </row>
    <row r="89" spans="1:21">
      <c r="A89" s="848" t="s">
        <v>691</v>
      </c>
      <c r="B89" s="108" t="s">
        <v>234</v>
      </c>
      <c r="C89" s="963" t="s">
        <v>156</v>
      </c>
      <c r="D89" s="173">
        <v>18000</v>
      </c>
      <c r="E89" s="854">
        <f>+D89</f>
        <v>18000</v>
      </c>
      <c r="F89" s="192"/>
      <c r="G89" s="193"/>
      <c r="H89" s="853"/>
      <c r="I89" s="854"/>
      <c r="J89" s="192"/>
      <c r="K89" s="194"/>
      <c r="L89" s="696"/>
      <c r="M89" s="851"/>
      <c r="N89" s="852"/>
      <c r="O89" s="852"/>
      <c r="P89" s="194"/>
      <c r="Q89" s="706"/>
      <c r="R89" s="853"/>
      <c r="S89" s="854"/>
      <c r="T89" s="192"/>
      <c r="U89" s="194"/>
    </row>
    <row r="90" spans="1:21">
      <c r="A90" s="848" t="s">
        <v>407</v>
      </c>
      <c r="B90" s="968" t="s">
        <v>115</v>
      </c>
      <c r="C90" s="963" t="s">
        <v>156</v>
      </c>
      <c r="D90" s="162">
        <v>1588</v>
      </c>
      <c r="E90" s="854">
        <f t="shared" ref="E90:E101" si="14">+D90</f>
        <v>1588</v>
      </c>
      <c r="F90" s="192"/>
      <c r="G90" s="193"/>
      <c r="H90" s="853"/>
      <c r="I90" s="854"/>
      <c r="J90" s="192"/>
      <c r="K90" s="194"/>
      <c r="L90" s="696"/>
      <c r="M90" s="851"/>
      <c r="N90" s="852"/>
      <c r="O90" s="852"/>
      <c r="P90" s="194"/>
      <c r="Q90" s="706"/>
      <c r="R90" s="853"/>
      <c r="S90" s="854"/>
      <c r="T90" s="192"/>
      <c r="U90" s="194"/>
    </row>
    <row r="91" spans="1:21">
      <c r="A91" s="848" t="s">
        <v>408</v>
      </c>
      <c r="B91" s="968" t="s">
        <v>114</v>
      </c>
      <c r="C91" s="963" t="s">
        <v>156</v>
      </c>
      <c r="D91" s="173">
        <v>1665</v>
      </c>
      <c r="E91" s="854">
        <f t="shared" si="14"/>
        <v>1665</v>
      </c>
      <c r="F91" s="192"/>
      <c r="G91" s="193"/>
      <c r="H91" s="853"/>
      <c r="I91" s="854"/>
      <c r="J91" s="192"/>
      <c r="K91" s="194"/>
      <c r="L91" s="696"/>
      <c r="M91" s="851"/>
      <c r="N91" s="852"/>
      <c r="O91" s="852"/>
      <c r="P91" s="194"/>
      <c r="Q91" s="706"/>
      <c r="R91" s="853"/>
      <c r="S91" s="854"/>
      <c r="T91" s="192"/>
      <c r="U91" s="194"/>
    </row>
    <row r="92" spans="1:21">
      <c r="A92" s="848" t="s">
        <v>409</v>
      </c>
      <c r="B92" s="968" t="s">
        <v>112</v>
      </c>
      <c r="C92" s="963" t="s">
        <v>156</v>
      </c>
      <c r="D92" s="173">
        <v>1023</v>
      </c>
      <c r="E92" s="854">
        <f t="shared" si="14"/>
        <v>1023</v>
      </c>
      <c r="F92" s="192"/>
      <c r="G92" s="193"/>
      <c r="H92" s="853"/>
      <c r="I92" s="854"/>
      <c r="J92" s="192"/>
      <c r="K92" s="194"/>
      <c r="L92" s="696"/>
      <c r="M92" s="851"/>
      <c r="N92" s="852"/>
      <c r="O92" s="852"/>
      <c r="P92" s="194"/>
      <c r="Q92" s="706"/>
      <c r="R92" s="853"/>
      <c r="S92" s="854"/>
      <c r="T92" s="192"/>
      <c r="U92" s="194"/>
    </row>
    <row r="93" spans="1:21">
      <c r="A93" s="997" t="s">
        <v>410</v>
      </c>
      <c r="B93" s="968" t="s">
        <v>110</v>
      </c>
      <c r="C93" s="963" t="s">
        <v>156</v>
      </c>
      <c r="D93" s="173">
        <v>1010</v>
      </c>
      <c r="E93" s="854">
        <f t="shared" si="14"/>
        <v>1010</v>
      </c>
      <c r="F93" s="192"/>
      <c r="G93" s="193"/>
      <c r="H93" s="853"/>
      <c r="I93" s="854"/>
      <c r="J93" s="192"/>
      <c r="K93" s="194"/>
      <c r="L93" s="696"/>
      <c r="M93" s="851"/>
      <c r="N93" s="852"/>
      <c r="O93" s="852"/>
      <c r="P93" s="194"/>
      <c r="Q93" s="706"/>
      <c r="R93" s="853"/>
      <c r="S93" s="854"/>
      <c r="T93" s="192"/>
      <c r="U93" s="194"/>
    </row>
    <row r="94" spans="1:21">
      <c r="A94" s="848" t="s">
        <v>411</v>
      </c>
      <c r="B94" s="968" t="s">
        <v>109</v>
      </c>
      <c r="C94" s="963" t="s">
        <v>156</v>
      </c>
      <c r="D94" s="173">
        <v>785</v>
      </c>
      <c r="E94" s="854">
        <f t="shared" si="14"/>
        <v>785</v>
      </c>
      <c r="F94" s="192"/>
      <c r="G94" s="193"/>
      <c r="H94" s="853"/>
      <c r="I94" s="854"/>
      <c r="J94" s="192"/>
      <c r="K94" s="194"/>
      <c r="L94" s="696"/>
      <c r="M94" s="851"/>
      <c r="N94" s="852"/>
      <c r="O94" s="852"/>
      <c r="P94" s="194"/>
      <c r="Q94" s="706"/>
      <c r="R94" s="853"/>
      <c r="S94" s="854"/>
      <c r="T94" s="192"/>
      <c r="U94" s="194"/>
    </row>
    <row r="95" spans="1:21">
      <c r="A95" s="848" t="s">
        <v>412</v>
      </c>
      <c r="B95" s="968" t="s">
        <v>108</v>
      </c>
      <c r="C95" s="963" t="s">
        <v>156</v>
      </c>
      <c r="D95" s="173">
        <v>1481</v>
      </c>
      <c r="E95" s="854">
        <f t="shared" si="14"/>
        <v>1481</v>
      </c>
      <c r="F95" s="192"/>
      <c r="G95" s="193"/>
      <c r="H95" s="853"/>
      <c r="I95" s="854"/>
      <c r="J95" s="192"/>
      <c r="K95" s="194"/>
      <c r="L95" s="696"/>
      <c r="M95" s="851"/>
      <c r="N95" s="852"/>
      <c r="O95" s="852"/>
      <c r="P95" s="194"/>
      <c r="Q95" s="706"/>
      <c r="R95" s="853"/>
      <c r="S95" s="854"/>
      <c r="T95" s="192"/>
      <c r="U95" s="194"/>
    </row>
    <row r="96" spans="1:21">
      <c r="A96" s="848" t="s">
        <v>413</v>
      </c>
      <c r="B96" s="968" t="s">
        <v>107</v>
      </c>
      <c r="C96" s="963" t="s">
        <v>156</v>
      </c>
      <c r="D96" s="173">
        <v>1006</v>
      </c>
      <c r="E96" s="854">
        <f t="shared" si="14"/>
        <v>1006</v>
      </c>
      <c r="F96" s="192"/>
      <c r="G96" s="193"/>
      <c r="H96" s="853"/>
      <c r="I96" s="854"/>
      <c r="J96" s="192"/>
      <c r="K96" s="194"/>
      <c r="L96" s="696"/>
      <c r="M96" s="851"/>
      <c r="N96" s="852"/>
      <c r="O96" s="852"/>
      <c r="P96" s="194"/>
      <c r="Q96" s="706"/>
      <c r="R96" s="853"/>
      <c r="S96" s="854"/>
      <c r="T96" s="192"/>
      <c r="U96" s="194"/>
    </row>
    <row r="97" spans="1:21">
      <c r="A97" s="848" t="s">
        <v>414</v>
      </c>
      <c r="B97" s="968" t="s">
        <v>106</v>
      </c>
      <c r="C97" s="963" t="s">
        <v>156</v>
      </c>
      <c r="D97" s="173">
        <v>1204</v>
      </c>
      <c r="E97" s="854">
        <f t="shared" si="14"/>
        <v>1204</v>
      </c>
      <c r="F97" s="192"/>
      <c r="G97" s="193"/>
      <c r="H97" s="853"/>
      <c r="I97" s="854"/>
      <c r="J97" s="192"/>
      <c r="K97" s="194"/>
      <c r="L97" s="696"/>
      <c r="M97" s="851"/>
      <c r="N97" s="852"/>
      <c r="O97" s="852"/>
      <c r="P97" s="194"/>
      <c r="Q97" s="706"/>
      <c r="R97" s="853"/>
      <c r="S97" s="854"/>
      <c r="T97" s="192"/>
      <c r="U97" s="194"/>
    </row>
    <row r="98" spans="1:21">
      <c r="A98" s="848" t="s">
        <v>415</v>
      </c>
      <c r="B98" s="968" t="s">
        <v>105</v>
      </c>
      <c r="C98" s="963" t="s">
        <v>156</v>
      </c>
      <c r="D98" s="173">
        <v>3201</v>
      </c>
      <c r="E98" s="854">
        <f t="shared" si="14"/>
        <v>3201</v>
      </c>
      <c r="F98" s="192"/>
      <c r="G98" s="193"/>
      <c r="H98" s="853"/>
      <c r="I98" s="854"/>
      <c r="J98" s="192"/>
      <c r="K98" s="194"/>
      <c r="L98" s="696"/>
      <c r="M98" s="851"/>
      <c r="N98" s="852"/>
      <c r="O98" s="852"/>
      <c r="P98" s="194"/>
      <c r="Q98" s="706"/>
      <c r="R98" s="853"/>
      <c r="S98" s="854"/>
      <c r="T98" s="192"/>
      <c r="U98" s="194"/>
    </row>
    <row r="99" spans="1:21">
      <c r="A99" s="848" t="s">
        <v>416</v>
      </c>
      <c r="B99" s="970" t="s">
        <v>104</v>
      </c>
      <c r="C99" s="963" t="s">
        <v>156</v>
      </c>
      <c r="D99" s="173">
        <v>1679</v>
      </c>
      <c r="E99" s="854">
        <f t="shared" si="14"/>
        <v>1679</v>
      </c>
      <c r="F99" s="192"/>
      <c r="G99" s="193"/>
      <c r="H99" s="853"/>
      <c r="I99" s="854"/>
      <c r="J99" s="192"/>
      <c r="K99" s="194"/>
      <c r="L99" s="696"/>
      <c r="M99" s="851"/>
      <c r="N99" s="852"/>
      <c r="O99" s="852"/>
      <c r="P99" s="194"/>
      <c r="Q99" s="706"/>
      <c r="R99" s="853"/>
      <c r="S99" s="854"/>
      <c r="T99" s="192"/>
      <c r="U99" s="194"/>
    </row>
    <row r="100" spans="1:21">
      <c r="A100" s="848" t="s">
        <v>438</v>
      </c>
      <c r="B100" s="970" t="s">
        <v>103</v>
      </c>
      <c r="C100" s="963" t="s">
        <v>156</v>
      </c>
      <c r="D100" s="173">
        <v>1131</v>
      </c>
      <c r="E100" s="854">
        <f t="shared" si="14"/>
        <v>1131</v>
      </c>
      <c r="F100" s="192"/>
      <c r="G100" s="193"/>
      <c r="H100" s="853"/>
      <c r="I100" s="854"/>
      <c r="J100" s="192"/>
      <c r="K100" s="194"/>
      <c r="L100" s="696"/>
      <c r="M100" s="851"/>
      <c r="N100" s="852"/>
      <c r="O100" s="852"/>
      <c r="P100" s="194"/>
      <c r="Q100" s="706"/>
      <c r="R100" s="853"/>
      <c r="S100" s="854"/>
      <c r="T100" s="192"/>
      <c r="U100" s="194"/>
    </row>
    <row r="101" spans="1:21" ht="13.5" thickBot="1">
      <c r="A101" s="14" t="s">
        <v>439</v>
      </c>
      <c r="B101" s="971" t="s">
        <v>102</v>
      </c>
      <c r="C101" s="990" t="s">
        <v>156</v>
      </c>
      <c r="D101" s="991">
        <v>1893</v>
      </c>
      <c r="E101" s="303">
        <f t="shared" si="14"/>
        <v>1893</v>
      </c>
      <c r="F101" s="992"/>
      <c r="G101" s="993"/>
      <c r="H101" s="302"/>
      <c r="I101" s="303"/>
      <c r="J101" s="992"/>
      <c r="K101" s="994"/>
      <c r="L101" s="995"/>
      <c r="M101" s="200"/>
      <c r="N101" s="196"/>
      <c r="O101" s="196"/>
      <c r="P101" s="994"/>
      <c r="Q101" s="996"/>
      <c r="R101" s="302"/>
      <c r="S101" s="303"/>
      <c r="T101" s="992"/>
      <c r="U101" s="994"/>
    </row>
    <row r="102" spans="1:21" ht="17.25" hidden="1" customHeight="1">
      <c r="A102" s="19" t="s">
        <v>438</v>
      </c>
      <c r="B102" s="965" t="s">
        <v>205</v>
      </c>
      <c r="C102" s="935" t="s">
        <v>89</v>
      </c>
      <c r="D102" s="987"/>
      <c r="E102" s="738"/>
      <c r="F102" s="332"/>
      <c r="G102" s="333"/>
      <c r="H102" s="334"/>
      <c r="I102" s="332"/>
      <c r="J102" s="332"/>
      <c r="K102" s="333"/>
      <c r="L102" s="988" t="s">
        <v>483</v>
      </c>
      <c r="M102" s="737"/>
      <c r="N102" s="738"/>
      <c r="O102" s="738"/>
      <c r="P102" s="333"/>
      <c r="Q102" s="989"/>
      <c r="R102" s="334"/>
      <c r="S102" s="332"/>
      <c r="T102" s="332"/>
      <c r="U102" s="335"/>
    </row>
    <row r="103" spans="1:21" ht="17.25" hidden="1" customHeight="1">
      <c r="A103" s="485" t="s">
        <v>439</v>
      </c>
      <c r="B103" s="142" t="s">
        <v>221</v>
      </c>
      <c r="C103" s="25" t="s">
        <v>89</v>
      </c>
      <c r="D103" s="177"/>
      <c r="E103" s="89"/>
      <c r="F103" s="180"/>
      <c r="G103" s="181"/>
      <c r="H103" s="182"/>
      <c r="I103" s="180"/>
      <c r="J103" s="180"/>
      <c r="K103" s="181"/>
      <c r="L103" s="511" t="s">
        <v>483</v>
      </c>
      <c r="M103" s="90"/>
      <c r="N103" s="89"/>
      <c r="O103" s="89"/>
      <c r="P103" s="181"/>
      <c r="Q103" s="63"/>
      <c r="R103" s="182"/>
      <c r="S103" s="180"/>
      <c r="T103" s="180"/>
      <c r="U103" s="183"/>
    </row>
    <row r="104" spans="1:21" ht="17.25" hidden="1" customHeight="1">
      <c r="A104" s="485" t="s">
        <v>440</v>
      </c>
      <c r="B104" s="142" t="s">
        <v>236</v>
      </c>
      <c r="C104" s="25" t="s">
        <v>89</v>
      </c>
      <c r="D104" s="177"/>
      <c r="E104" s="89"/>
      <c r="F104" s="180"/>
      <c r="G104" s="181"/>
      <c r="H104" s="182"/>
      <c r="I104" s="180"/>
      <c r="J104" s="180"/>
      <c r="K104" s="181"/>
      <c r="L104" s="511" t="s">
        <v>483</v>
      </c>
      <c r="M104" s="90"/>
      <c r="N104" s="89"/>
      <c r="O104" s="89"/>
      <c r="P104" s="181"/>
      <c r="Q104" s="63"/>
      <c r="R104" s="182"/>
      <c r="S104" s="180"/>
      <c r="T104" s="180"/>
      <c r="U104" s="183"/>
    </row>
    <row r="105" spans="1:21" ht="17.25" hidden="1" customHeight="1">
      <c r="A105" s="485" t="s">
        <v>441</v>
      </c>
      <c r="B105" s="142" t="s">
        <v>235</v>
      </c>
      <c r="C105" s="25" t="s">
        <v>89</v>
      </c>
      <c r="D105" s="177"/>
      <c r="E105" s="89"/>
      <c r="F105" s="180"/>
      <c r="G105" s="181"/>
      <c r="H105" s="182"/>
      <c r="I105" s="180"/>
      <c r="J105" s="180"/>
      <c r="K105" s="181"/>
      <c r="L105" s="511" t="s">
        <v>483</v>
      </c>
      <c r="M105" s="90"/>
      <c r="N105" s="89"/>
      <c r="O105" s="89"/>
      <c r="P105" s="181"/>
      <c r="Q105" s="63"/>
      <c r="R105" s="182"/>
      <c r="S105" s="180"/>
      <c r="T105" s="180"/>
      <c r="U105" s="183"/>
    </row>
    <row r="106" spans="1:21" ht="17.25" hidden="1" customHeight="1">
      <c r="A106" s="485" t="s">
        <v>442</v>
      </c>
      <c r="B106" s="142" t="s">
        <v>238</v>
      </c>
      <c r="C106" s="25" t="s">
        <v>89</v>
      </c>
      <c r="D106" s="177"/>
      <c r="E106" s="89"/>
      <c r="F106" s="180"/>
      <c r="G106" s="181"/>
      <c r="H106" s="182"/>
      <c r="I106" s="180"/>
      <c r="J106" s="180"/>
      <c r="K106" s="181"/>
      <c r="L106" s="511" t="s">
        <v>483</v>
      </c>
      <c r="M106" s="90"/>
      <c r="N106" s="89"/>
      <c r="O106" s="89"/>
      <c r="P106" s="181"/>
      <c r="Q106" s="63"/>
      <c r="R106" s="182"/>
      <c r="S106" s="180"/>
      <c r="T106" s="180"/>
      <c r="U106" s="183"/>
    </row>
    <row r="107" spans="1:21" ht="29.25" hidden="1" customHeight="1">
      <c r="A107" s="485" t="s">
        <v>443</v>
      </c>
      <c r="B107" s="141" t="s">
        <v>311</v>
      </c>
      <c r="C107" s="25" t="s">
        <v>89</v>
      </c>
      <c r="D107" s="177"/>
      <c r="E107" s="89"/>
      <c r="F107" s="180"/>
      <c r="G107" s="181"/>
      <c r="H107" s="182"/>
      <c r="I107" s="180"/>
      <c r="J107" s="180"/>
      <c r="K107" s="181"/>
      <c r="L107" s="511" t="s">
        <v>483</v>
      </c>
      <c r="M107" s="90"/>
      <c r="N107" s="89"/>
      <c r="O107" s="89"/>
      <c r="P107" s="181"/>
      <c r="Q107" s="63"/>
      <c r="R107" s="182"/>
      <c r="S107" s="180"/>
      <c r="T107" s="180"/>
      <c r="U107" s="183"/>
    </row>
    <row r="108" spans="1:21" ht="17.25" hidden="1" customHeight="1">
      <c r="A108" s="485" t="s">
        <v>444</v>
      </c>
      <c r="B108" s="142" t="s">
        <v>206</v>
      </c>
      <c r="C108" s="25" t="s">
        <v>89</v>
      </c>
      <c r="D108" s="177"/>
      <c r="E108" s="89"/>
      <c r="F108" s="180"/>
      <c r="G108" s="181"/>
      <c r="H108" s="182"/>
      <c r="I108" s="180"/>
      <c r="J108" s="180"/>
      <c r="K108" s="181"/>
      <c r="L108" s="511" t="s">
        <v>483</v>
      </c>
      <c r="M108" s="90"/>
      <c r="N108" s="89"/>
      <c r="O108" s="89"/>
      <c r="P108" s="181"/>
      <c r="Q108" s="63"/>
      <c r="R108" s="182"/>
      <c r="S108" s="180"/>
      <c r="T108" s="180"/>
      <c r="U108" s="183"/>
    </row>
    <row r="109" spans="1:21" ht="17.25" hidden="1" customHeight="1">
      <c r="A109" s="485" t="s">
        <v>445</v>
      </c>
      <c r="B109" s="142" t="s">
        <v>239</v>
      </c>
      <c r="C109" s="25" t="s">
        <v>89</v>
      </c>
      <c r="D109" s="177"/>
      <c r="E109" s="89"/>
      <c r="F109" s="180"/>
      <c r="G109" s="181"/>
      <c r="H109" s="182"/>
      <c r="I109" s="180"/>
      <c r="J109" s="180"/>
      <c r="K109" s="181"/>
      <c r="L109" s="511" t="s">
        <v>483</v>
      </c>
      <c r="M109" s="90"/>
      <c r="N109" s="89"/>
      <c r="O109" s="89"/>
      <c r="P109" s="181"/>
      <c r="Q109" s="63"/>
      <c r="R109" s="182"/>
      <c r="S109" s="180"/>
      <c r="T109" s="180"/>
      <c r="U109" s="183"/>
    </row>
    <row r="110" spans="1:21" ht="17.25" hidden="1" customHeight="1">
      <c r="A110" s="485" t="s">
        <v>446</v>
      </c>
      <c r="B110" s="141" t="s">
        <v>336</v>
      </c>
      <c r="C110" s="25" t="s">
        <v>89</v>
      </c>
      <c r="D110" s="177"/>
      <c r="E110" s="89"/>
      <c r="F110" s="180"/>
      <c r="G110" s="181"/>
      <c r="H110" s="182"/>
      <c r="I110" s="180"/>
      <c r="J110" s="180"/>
      <c r="K110" s="181"/>
      <c r="L110" s="511" t="s">
        <v>483</v>
      </c>
      <c r="M110" s="90"/>
      <c r="N110" s="89"/>
      <c r="O110" s="89"/>
      <c r="P110" s="181"/>
      <c r="Q110" s="63"/>
      <c r="R110" s="182"/>
      <c r="S110" s="180"/>
      <c r="T110" s="180"/>
      <c r="U110" s="183"/>
    </row>
    <row r="111" spans="1:21" ht="27.75" hidden="1" customHeight="1">
      <c r="A111" s="485" t="s">
        <v>447</v>
      </c>
      <c r="B111" s="141" t="s">
        <v>261</v>
      </c>
      <c r="C111" s="25" t="s">
        <v>89</v>
      </c>
      <c r="D111" s="177"/>
      <c r="E111" s="89"/>
      <c r="F111" s="180"/>
      <c r="G111" s="181"/>
      <c r="H111" s="182"/>
      <c r="I111" s="180"/>
      <c r="J111" s="180"/>
      <c r="K111" s="181"/>
      <c r="L111" s="511" t="s">
        <v>483</v>
      </c>
      <c r="M111" s="90"/>
      <c r="N111" s="89"/>
      <c r="O111" s="89"/>
      <c r="P111" s="181"/>
      <c r="Q111" s="63"/>
      <c r="R111" s="182"/>
      <c r="S111" s="180"/>
      <c r="T111" s="180"/>
      <c r="U111" s="183"/>
    </row>
    <row r="112" spans="1:21" ht="17.25" hidden="1" customHeight="1">
      <c r="A112" s="485" t="s">
        <v>448</v>
      </c>
      <c r="B112" s="141" t="s">
        <v>237</v>
      </c>
      <c r="C112" s="25" t="s">
        <v>89</v>
      </c>
      <c r="D112" s="177"/>
      <c r="E112" s="89"/>
      <c r="F112" s="180"/>
      <c r="G112" s="181"/>
      <c r="H112" s="182"/>
      <c r="I112" s="180"/>
      <c r="J112" s="180"/>
      <c r="K112" s="181"/>
      <c r="L112" s="511" t="s">
        <v>483</v>
      </c>
      <c r="M112" s="90"/>
      <c r="N112" s="89"/>
      <c r="O112" s="89"/>
      <c r="P112" s="181"/>
      <c r="Q112" s="63"/>
      <c r="R112" s="182"/>
      <c r="S112" s="180"/>
      <c r="T112" s="180"/>
      <c r="U112" s="183"/>
    </row>
    <row r="113" spans="1:21" ht="27" hidden="1" customHeight="1">
      <c r="A113" s="485" t="s">
        <v>449</v>
      </c>
      <c r="B113" s="141" t="s">
        <v>314</v>
      </c>
      <c r="C113" s="25" t="s">
        <v>89</v>
      </c>
      <c r="D113" s="177"/>
      <c r="E113" s="89"/>
      <c r="F113" s="180"/>
      <c r="G113" s="181"/>
      <c r="H113" s="182"/>
      <c r="I113" s="180"/>
      <c r="J113" s="180"/>
      <c r="K113" s="181"/>
      <c r="L113" s="511" t="s">
        <v>483</v>
      </c>
      <c r="M113" s="90"/>
      <c r="N113" s="89"/>
      <c r="O113" s="89"/>
      <c r="P113" s="181"/>
      <c r="Q113" s="63"/>
      <c r="R113" s="182"/>
      <c r="S113" s="180"/>
      <c r="T113" s="180"/>
      <c r="U113" s="183"/>
    </row>
    <row r="114" spans="1:21" ht="17.25" hidden="1" customHeight="1">
      <c r="A114" s="485" t="s">
        <v>450</v>
      </c>
      <c r="B114" s="142" t="s">
        <v>99</v>
      </c>
      <c r="C114" s="25" t="s">
        <v>89</v>
      </c>
      <c r="D114" s="177"/>
      <c r="E114" s="89"/>
      <c r="F114" s="180"/>
      <c r="G114" s="181"/>
      <c r="H114" s="182"/>
      <c r="I114" s="180"/>
      <c r="J114" s="180"/>
      <c r="K114" s="181"/>
      <c r="L114" s="511" t="s">
        <v>483</v>
      </c>
      <c r="M114" s="90"/>
      <c r="N114" s="89"/>
      <c r="O114" s="89"/>
      <c r="P114" s="181"/>
      <c r="Q114" s="63"/>
      <c r="R114" s="182"/>
      <c r="S114" s="180"/>
      <c r="T114" s="180"/>
      <c r="U114" s="183"/>
    </row>
    <row r="115" spans="1:21" ht="17.25" hidden="1" customHeight="1">
      <c r="A115" s="485" t="s">
        <v>451</v>
      </c>
      <c r="B115" s="142" t="s">
        <v>312</v>
      </c>
      <c r="C115" s="25" t="s">
        <v>89</v>
      </c>
      <c r="D115" s="177"/>
      <c r="E115" s="89"/>
      <c r="F115" s="180"/>
      <c r="G115" s="181"/>
      <c r="H115" s="182"/>
      <c r="I115" s="180"/>
      <c r="J115" s="180"/>
      <c r="K115" s="181"/>
      <c r="L115" s="511" t="s">
        <v>483</v>
      </c>
      <c r="M115" s="90"/>
      <c r="N115" s="89"/>
      <c r="O115" s="89"/>
      <c r="P115" s="181"/>
      <c r="Q115" s="63"/>
      <c r="R115" s="182"/>
      <c r="S115" s="180"/>
      <c r="T115" s="180"/>
      <c r="U115" s="183"/>
    </row>
    <row r="116" spans="1:21" ht="17.25" hidden="1" customHeight="1" thickBot="1">
      <c r="A116" s="14" t="s">
        <v>452</v>
      </c>
      <c r="B116" s="144" t="s">
        <v>437</v>
      </c>
      <c r="C116" s="145" t="s">
        <v>89</v>
      </c>
      <c r="D116" s="195"/>
      <c r="E116" s="196"/>
      <c r="F116" s="197"/>
      <c r="G116" s="198"/>
      <c r="H116" s="199"/>
      <c r="I116" s="197"/>
      <c r="J116" s="197"/>
      <c r="K116" s="198"/>
      <c r="L116" s="511" t="s">
        <v>483</v>
      </c>
      <c r="M116" s="200"/>
      <c r="N116" s="196"/>
      <c r="O116" s="196"/>
      <c r="P116" s="198"/>
      <c r="Q116" s="66"/>
      <c r="R116" s="199"/>
      <c r="S116" s="197"/>
      <c r="T116" s="197"/>
      <c r="U116" s="201"/>
    </row>
    <row r="117" spans="1:21" ht="43.5" thickBot="1">
      <c r="A117" s="44" t="s">
        <v>220</v>
      </c>
      <c r="B117" s="381" t="s">
        <v>607</v>
      </c>
      <c r="C117" s="501"/>
      <c r="D117" s="265">
        <f>SUM(D119,D134,D138,D140,D145,D148,D151,D154,D158,D162:D170,D155,D160,D177,)</f>
        <v>5508753</v>
      </c>
      <c r="E117" s="265">
        <f>SUM(E119,E134,E138,E140,E145,E148,E151,E154,E158,E162:E170,E155,E160,E177,)</f>
        <v>5468423</v>
      </c>
      <c r="F117" s="265">
        <f>SUM(F119,F134,F138,F140,F145,F148,F151,F154,F158,F162:F170,F155,F160,F177,)</f>
        <v>4148251</v>
      </c>
      <c r="G117" s="265">
        <f>SUM(G119,G134,G138,G140,G145,G148,G151,G154,G158,G162:G170,G155,G160,G177,)</f>
        <v>40330</v>
      </c>
      <c r="H117" s="268">
        <f>SUM(H119,H134:H174)</f>
        <v>8776954</v>
      </c>
      <c r="I117" s="266">
        <f>SUM(I119,I134:I174)</f>
        <v>8776954</v>
      </c>
      <c r="J117" s="266">
        <f>SUM(J119,J134:J174)</f>
        <v>8099421</v>
      </c>
      <c r="K117" s="267">
        <f>SUM(K119,K134:K174)</f>
        <v>0</v>
      </c>
      <c r="L117" s="505"/>
      <c r="M117" s="268">
        <f>SUM(M134:M174,M119)</f>
        <v>530904</v>
      </c>
      <c r="N117" s="266">
        <f>SUM(N134:N174,N119)</f>
        <v>530904</v>
      </c>
      <c r="O117" s="266">
        <f>SUM(O134:O174,O119)</f>
        <v>178342</v>
      </c>
      <c r="P117" s="269">
        <f>SUM(P134:P174,P119)</f>
        <v>0</v>
      </c>
      <c r="Q117" s="118"/>
      <c r="R117" s="268">
        <f>SUM(R134:R174)</f>
        <v>389727</v>
      </c>
      <c r="S117" s="266">
        <f>SUM(S134:S174)</f>
        <v>389727</v>
      </c>
      <c r="T117" s="266">
        <f>SUM(T134:T174)</f>
        <v>41100</v>
      </c>
      <c r="U117" s="269">
        <f>SUM(U134:U174)</f>
        <v>0</v>
      </c>
    </row>
    <row r="118" spans="1:21" ht="15.75" customHeight="1">
      <c r="A118" s="41"/>
      <c r="B118" s="109" t="s">
        <v>373</v>
      </c>
      <c r="C118" s="67"/>
      <c r="D118" s="202"/>
      <c r="E118" s="203"/>
      <c r="F118" s="203"/>
      <c r="G118" s="206"/>
      <c r="H118" s="202"/>
      <c r="I118" s="203"/>
      <c r="J118" s="203"/>
      <c r="K118" s="206"/>
      <c r="L118" s="358"/>
      <c r="M118" s="202"/>
      <c r="N118" s="203"/>
      <c r="O118" s="203"/>
      <c r="P118" s="204"/>
      <c r="Q118" s="1064"/>
      <c r="R118" s="202"/>
      <c r="S118" s="203"/>
      <c r="T118" s="203"/>
      <c r="U118" s="204"/>
    </row>
    <row r="119" spans="1:21" ht="24">
      <c r="A119" s="1127" t="s">
        <v>11</v>
      </c>
      <c r="B119" s="21" t="s">
        <v>563</v>
      </c>
      <c r="C119" s="1118"/>
      <c r="D119" s="182">
        <f>SUM(D121:D133)</f>
        <v>70045</v>
      </c>
      <c r="E119" s="180">
        <f>SUM(E121:E133)</f>
        <v>70045</v>
      </c>
      <c r="F119" s="180">
        <f>SUM(F121:F133)</f>
        <v>0</v>
      </c>
      <c r="G119" s="181">
        <f>SUM(G121:G133)</f>
        <v>0</v>
      </c>
      <c r="H119" s="1113">
        <f>SUM(H121:H129)</f>
        <v>274803</v>
      </c>
      <c r="I119" s="1117">
        <f>SUM(I121:I129)</f>
        <v>274803</v>
      </c>
      <c r="J119" s="1117">
        <f>SUM(J121:J129)</f>
        <v>0</v>
      </c>
      <c r="K119" s="1112">
        <f>SUM(K121:K129)</f>
        <v>0</v>
      </c>
      <c r="L119" s="357"/>
      <c r="M119" s="182">
        <f>SUM(M121:M133)</f>
        <v>186004</v>
      </c>
      <c r="N119" s="180">
        <f t="shared" ref="N119:P119" si="15">SUM(N121:N133)</f>
        <v>186004</v>
      </c>
      <c r="O119" s="180">
        <f t="shared" si="15"/>
        <v>3342</v>
      </c>
      <c r="P119" s="183">
        <f t="shared" si="15"/>
        <v>0</v>
      </c>
      <c r="Q119" s="77"/>
      <c r="R119" s="182">
        <f>SUM(R123:R124)</f>
        <v>0</v>
      </c>
      <c r="S119" s="180">
        <f>SUM(S123:S124)</f>
        <v>0</v>
      </c>
      <c r="T119" s="180">
        <f>SUM(T123:T124)</f>
        <v>0</v>
      </c>
      <c r="U119" s="183">
        <f>SUM(U123:U124)</f>
        <v>0</v>
      </c>
    </row>
    <row r="120" spans="1:21" ht="12.75" customHeight="1">
      <c r="A120" s="1127"/>
      <c r="B120" s="20" t="s">
        <v>149</v>
      </c>
      <c r="C120" s="1118"/>
      <c r="D120" s="1108"/>
      <c r="E120" s="1110"/>
      <c r="F120" s="1110"/>
      <c r="G120" s="1109"/>
      <c r="H120" s="1108"/>
      <c r="I120" s="1110"/>
      <c r="J120" s="1110"/>
      <c r="K120" s="1109"/>
      <c r="L120" s="357"/>
      <c r="M120" s="1108"/>
      <c r="N120" s="1110"/>
      <c r="O120" s="1110"/>
      <c r="P120" s="1122"/>
      <c r="Q120" s="77"/>
      <c r="R120" s="1108"/>
      <c r="S120" s="1110"/>
      <c r="T120" s="1110"/>
      <c r="U120" s="1122"/>
    </row>
    <row r="121" spans="1:21" ht="26.25" customHeight="1">
      <c r="A121" s="1127" t="s">
        <v>191</v>
      </c>
      <c r="B121" s="676" t="s">
        <v>477</v>
      </c>
      <c r="C121" s="1118"/>
      <c r="D121" s="1108"/>
      <c r="E121" s="1110"/>
      <c r="F121" s="1110"/>
      <c r="G121" s="1109"/>
      <c r="H121" s="1108">
        <v>234053</v>
      </c>
      <c r="I121" s="1110">
        <f>+H121</f>
        <v>234053</v>
      </c>
      <c r="J121" s="1110"/>
      <c r="K121" s="1109"/>
      <c r="L121" s="357"/>
      <c r="M121" s="1108"/>
      <c r="N121" s="1110"/>
      <c r="O121" s="1110"/>
      <c r="P121" s="1122"/>
      <c r="Q121" s="77"/>
      <c r="R121" s="1108"/>
      <c r="S121" s="1110"/>
      <c r="T121" s="1110"/>
      <c r="U121" s="1122"/>
    </row>
    <row r="122" spans="1:21" ht="24.75" customHeight="1">
      <c r="A122" s="1127" t="s">
        <v>192</v>
      </c>
      <c r="B122" s="676" t="s">
        <v>478</v>
      </c>
      <c r="C122" s="1118" t="s">
        <v>349</v>
      </c>
      <c r="D122" s="1108"/>
      <c r="E122" s="1110"/>
      <c r="F122" s="1110"/>
      <c r="G122" s="1109"/>
      <c r="H122" s="1108">
        <v>40750</v>
      </c>
      <c r="I122" s="1110">
        <v>40750</v>
      </c>
      <c r="J122" s="1110"/>
      <c r="K122" s="1109"/>
      <c r="L122" s="353"/>
      <c r="M122" s="1108"/>
      <c r="N122" s="1110"/>
      <c r="O122" s="1110"/>
      <c r="P122" s="1122"/>
      <c r="Q122" s="71"/>
      <c r="R122" s="1108"/>
      <c r="S122" s="1110"/>
      <c r="T122" s="1110"/>
      <c r="U122" s="1122"/>
    </row>
    <row r="123" spans="1:21" ht="29.25" customHeight="1">
      <c r="A123" s="1127" t="s">
        <v>265</v>
      </c>
      <c r="B123" s="676" t="s">
        <v>608</v>
      </c>
      <c r="C123" s="1118" t="s">
        <v>349</v>
      </c>
      <c r="D123" s="1108">
        <v>9200</v>
      </c>
      <c r="E123" s="1110">
        <f>+D123</f>
        <v>9200</v>
      </c>
      <c r="F123" s="1110"/>
      <c r="G123" s="1109"/>
      <c r="H123" s="1108"/>
      <c r="I123" s="1110"/>
      <c r="J123" s="1110"/>
      <c r="K123" s="1109"/>
      <c r="L123" s="1116"/>
      <c r="M123" s="1108"/>
      <c r="N123" s="1110"/>
      <c r="O123" s="1110"/>
      <c r="P123" s="1122"/>
      <c r="Q123" s="1123"/>
      <c r="R123" s="1108"/>
      <c r="S123" s="1110"/>
      <c r="T123" s="1110"/>
      <c r="U123" s="1122"/>
    </row>
    <row r="124" spans="1:21" ht="24.75" customHeight="1">
      <c r="A124" s="1127" t="s">
        <v>332</v>
      </c>
      <c r="B124" s="676" t="s">
        <v>729</v>
      </c>
      <c r="C124" s="1118" t="s">
        <v>349</v>
      </c>
      <c r="D124" s="1108"/>
      <c r="E124" s="1110"/>
      <c r="F124" s="1110"/>
      <c r="G124" s="1109"/>
      <c r="H124" s="1108"/>
      <c r="I124" s="1110"/>
      <c r="J124" s="1110"/>
      <c r="K124" s="1109"/>
      <c r="L124" s="1116" t="s">
        <v>483</v>
      </c>
      <c r="M124" s="1108">
        <v>13004</v>
      </c>
      <c r="N124" s="1110">
        <f>+M124</f>
        <v>13004</v>
      </c>
      <c r="O124" s="1110"/>
      <c r="P124" s="1122"/>
      <c r="Q124" s="1123"/>
      <c r="R124" s="1108"/>
      <c r="S124" s="1110"/>
      <c r="T124" s="1110"/>
      <c r="U124" s="1122"/>
    </row>
    <row r="125" spans="1:21" ht="26.25" customHeight="1">
      <c r="A125" s="1127" t="s">
        <v>338</v>
      </c>
      <c r="B125" s="110" t="s">
        <v>339</v>
      </c>
      <c r="C125" s="1118" t="s">
        <v>349</v>
      </c>
      <c r="D125" s="1108"/>
      <c r="E125" s="1110"/>
      <c r="F125" s="1110"/>
      <c r="G125" s="1109"/>
      <c r="H125" s="1108"/>
      <c r="I125" s="1110"/>
      <c r="J125" s="1110"/>
      <c r="K125" s="1109"/>
      <c r="L125" s="353" t="s">
        <v>483</v>
      </c>
      <c r="M125" s="1108">
        <v>173000</v>
      </c>
      <c r="N125" s="1110">
        <f>+M125-P125</f>
        <v>173000</v>
      </c>
      <c r="O125" s="1119">
        <v>3342</v>
      </c>
      <c r="P125" s="1122"/>
      <c r="Q125" s="71"/>
      <c r="R125" s="1108"/>
      <c r="S125" s="1110"/>
      <c r="T125" s="1110"/>
      <c r="U125" s="1122"/>
    </row>
    <row r="126" spans="1:21" ht="39.75" customHeight="1">
      <c r="A126" s="1127" t="s">
        <v>381</v>
      </c>
      <c r="B126" s="110" t="s">
        <v>613</v>
      </c>
      <c r="C126" s="1118" t="s">
        <v>349</v>
      </c>
      <c r="D126" s="1108">
        <v>24038</v>
      </c>
      <c r="E126" s="1110">
        <f>+D126</f>
        <v>24038</v>
      </c>
      <c r="F126" s="1110"/>
      <c r="G126" s="1109"/>
      <c r="H126" s="1108"/>
      <c r="I126" s="1110"/>
      <c r="J126" s="1110"/>
      <c r="K126" s="1109"/>
      <c r="L126" s="353"/>
      <c r="M126" s="1108"/>
      <c r="N126" s="1110"/>
      <c r="O126" s="1110"/>
      <c r="P126" s="1122"/>
      <c r="Q126" s="71"/>
      <c r="R126" s="1108"/>
      <c r="S126" s="1110"/>
      <c r="T126" s="1110"/>
      <c r="U126" s="1122"/>
    </row>
    <row r="127" spans="1:21" ht="26.25" customHeight="1">
      <c r="A127" s="1127" t="s">
        <v>692</v>
      </c>
      <c r="B127" s="110" t="s">
        <v>609</v>
      </c>
      <c r="C127" s="1118"/>
      <c r="D127" s="1108">
        <v>1500</v>
      </c>
      <c r="E127" s="1110">
        <f t="shared" ref="E127:E133" si="16">+D127</f>
        <v>1500</v>
      </c>
      <c r="F127" s="1110"/>
      <c r="G127" s="1109"/>
      <c r="H127" s="1108"/>
      <c r="I127" s="1110"/>
      <c r="J127" s="1110"/>
      <c r="K127" s="1109"/>
      <c r="L127" s="353"/>
      <c r="M127" s="1108"/>
      <c r="N127" s="1110"/>
      <c r="O127" s="1110"/>
      <c r="P127" s="1122"/>
      <c r="Q127" s="71"/>
      <c r="R127" s="1108"/>
      <c r="S127" s="1110"/>
      <c r="T127" s="1110"/>
      <c r="U127" s="1122"/>
    </row>
    <row r="128" spans="1:21" ht="38.25" customHeight="1">
      <c r="A128" s="1127" t="s">
        <v>389</v>
      </c>
      <c r="B128" s="110" t="s">
        <v>610</v>
      </c>
      <c r="C128" s="1118"/>
      <c r="D128" s="1108">
        <v>3599</v>
      </c>
      <c r="E128" s="1110">
        <f t="shared" si="16"/>
        <v>3599</v>
      </c>
      <c r="F128" s="1110"/>
      <c r="G128" s="1109"/>
      <c r="H128" s="1108"/>
      <c r="I128" s="1110"/>
      <c r="J128" s="1110"/>
      <c r="K128" s="1109"/>
      <c r="L128" s="353"/>
      <c r="M128" s="1108"/>
      <c r="N128" s="1110"/>
      <c r="O128" s="1110"/>
      <c r="P128" s="1122"/>
      <c r="Q128" s="71"/>
      <c r="R128" s="1108"/>
      <c r="S128" s="1110"/>
      <c r="T128" s="1110"/>
      <c r="U128" s="1122"/>
    </row>
    <row r="129" spans="1:21" ht="30.75" customHeight="1">
      <c r="A129" s="1127" t="s">
        <v>693</v>
      </c>
      <c r="B129" s="100" t="s">
        <v>550</v>
      </c>
      <c r="C129" s="1118"/>
      <c r="D129" s="1108">
        <v>7858</v>
      </c>
      <c r="E129" s="1110">
        <f t="shared" si="16"/>
        <v>7858</v>
      </c>
      <c r="F129" s="1110"/>
      <c r="G129" s="1109"/>
      <c r="H129" s="1108"/>
      <c r="I129" s="1110"/>
      <c r="J129" s="1110"/>
      <c r="K129" s="1109"/>
      <c r="L129" s="353"/>
      <c r="M129" s="1108"/>
      <c r="N129" s="1110"/>
      <c r="O129" s="1110"/>
      <c r="P129" s="1122"/>
      <c r="Q129" s="71"/>
      <c r="R129" s="1108"/>
      <c r="S129" s="1110"/>
      <c r="T129" s="1110"/>
      <c r="U129" s="1122"/>
    </row>
    <row r="130" spans="1:21" ht="31.5" customHeight="1">
      <c r="A130" s="1127" t="s">
        <v>694</v>
      </c>
      <c r="B130" s="100" t="s">
        <v>615</v>
      </c>
      <c r="C130" s="1118"/>
      <c r="D130" s="1108">
        <v>2850</v>
      </c>
      <c r="E130" s="1110">
        <f t="shared" si="16"/>
        <v>2850</v>
      </c>
      <c r="F130" s="1110"/>
      <c r="G130" s="1109"/>
      <c r="H130" s="1108"/>
      <c r="I130" s="1110"/>
      <c r="J130" s="1110"/>
      <c r="K130" s="1109"/>
      <c r="L130" s="353"/>
      <c r="M130" s="1108"/>
      <c r="N130" s="1110"/>
      <c r="O130" s="1110"/>
      <c r="P130" s="1122"/>
      <c r="Q130" s="71"/>
      <c r="R130" s="1108"/>
      <c r="S130" s="1110"/>
      <c r="T130" s="1110"/>
      <c r="U130" s="1122"/>
    </row>
    <row r="131" spans="1:21" ht="30.75" customHeight="1">
      <c r="A131" s="1127" t="s">
        <v>695</v>
      </c>
      <c r="B131" s="100" t="s">
        <v>616</v>
      </c>
      <c r="C131" s="1118"/>
      <c r="D131" s="1108">
        <v>6000</v>
      </c>
      <c r="E131" s="1110">
        <f t="shared" si="16"/>
        <v>6000</v>
      </c>
      <c r="F131" s="1110"/>
      <c r="G131" s="1109"/>
      <c r="H131" s="1108"/>
      <c r="I131" s="1110"/>
      <c r="J131" s="1110"/>
      <c r="K131" s="1109"/>
      <c r="L131" s="353"/>
      <c r="M131" s="1108"/>
      <c r="N131" s="1110"/>
      <c r="O131" s="1110"/>
      <c r="P131" s="1122"/>
      <c r="Q131" s="71"/>
      <c r="R131" s="1108"/>
      <c r="S131" s="1110"/>
      <c r="T131" s="1110"/>
      <c r="U131" s="1122"/>
    </row>
    <row r="132" spans="1:21" ht="31.5" customHeight="1">
      <c r="A132" s="1127" t="s">
        <v>696</v>
      </c>
      <c r="B132" s="100" t="s">
        <v>617</v>
      </c>
      <c r="C132" s="1118"/>
      <c r="D132" s="1108">
        <v>9000</v>
      </c>
      <c r="E132" s="1110">
        <f t="shared" si="16"/>
        <v>9000</v>
      </c>
      <c r="F132" s="1110"/>
      <c r="G132" s="1109"/>
      <c r="H132" s="1108"/>
      <c r="I132" s="1110"/>
      <c r="J132" s="1110"/>
      <c r="K132" s="1109"/>
      <c r="L132" s="353"/>
      <c r="M132" s="1108"/>
      <c r="N132" s="1110"/>
      <c r="O132" s="1110"/>
      <c r="P132" s="1122"/>
      <c r="Q132" s="71"/>
      <c r="R132" s="1108"/>
      <c r="S132" s="1110"/>
      <c r="T132" s="1110"/>
      <c r="U132" s="1122"/>
    </row>
    <row r="133" spans="1:21" ht="29.25" customHeight="1" thickBot="1">
      <c r="A133" s="14" t="s">
        <v>697</v>
      </c>
      <c r="B133" s="1305" t="s">
        <v>379</v>
      </c>
      <c r="C133" s="502"/>
      <c r="D133" s="302">
        <v>6000</v>
      </c>
      <c r="E133" s="303">
        <f t="shared" si="16"/>
        <v>6000</v>
      </c>
      <c r="F133" s="303"/>
      <c r="G133" s="304"/>
      <c r="H133" s="302"/>
      <c r="I133" s="303"/>
      <c r="J133" s="303"/>
      <c r="K133" s="304"/>
      <c r="L133" s="506"/>
      <c r="M133" s="302"/>
      <c r="N133" s="303"/>
      <c r="O133" s="303"/>
      <c r="P133" s="305"/>
      <c r="Q133" s="1306"/>
      <c r="R133" s="302"/>
      <c r="S133" s="303"/>
      <c r="T133" s="303"/>
      <c r="U133" s="305"/>
    </row>
    <row r="134" spans="1:21" ht="14.25" customHeight="1">
      <c r="A134" s="1295" t="s">
        <v>193</v>
      </c>
      <c r="B134" s="1296" t="s">
        <v>660</v>
      </c>
      <c r="C134" s="1297" t="s">
        <v>349</v>
      </c>
      <c r="D134" s="1298">
        <f>318961+15000+7924</f>
        <v>341885</v>
      </c>
      <c r="E134" s="1299">
        <f>D134-G134</f>
        <v>323895</v>
      </c>
      <c r="F134" s="1300">
        <v>238156</v>
      </c>
      <c r="G134" s="1300">
        <f>+G137+2990</f>
        <v>17990</v>
      </c>
      <c r="H134" s="1177">
        <f>1029791+16500</f>
        <v>1046291</v>
      </c>
      <c r="I134" s="1168">
        <f>H134-K134</f>
        <v>1046291</v>
      </c>
      <c r="J134" s="1168">
        <f>993490-900</f>
        <v>992590</v>
      </c>
      <c r="K134" s="1301"/>
      <c r="L134" s="371"/>
      <c r="M134" s="334"/>
      <c r="N134" s="332"/>
      <c r="O134" s="332"/>
      <c r="P134" s="335"/>
      <c r="Q134" s="1302">
        <v>11011</v>
      </c>
      <c r="R134" s="1303">
        <v>1600</v>
      </c>
      <c r="S134" s="1304">
        <v>1600</v>
      </c>
      <c r="T134" s="332"/>
      <c r="U134" s="335"/>
    </row>
    <row r="135" spans="1:21" ht="14.25" customHeight="1">
      <c r="A135" s="1128"/>
      <c r="B135" s="1130"/>
      <c r="C135" s="1134"/>
      <c r="D135" s="1158"/>
      <c r="E135" s="1156"/>
      <c r="F135" s="1150"/>
      <c r="G135" s="1150"/>
      <c r="H135" s="1152"/>
      <c r="I135" s="1148"/>
      <c r="J135" s="1148"/>
      <c r="K135" s="1154"/>
      <c r="L135" s="357"/>
      <c r="M135" s="182"/>
      <c r="N135" s="180"/>
      <c r="O135" s="180"/>
      <c r="P135" s="183"/>
      <c r="Q135" s="69">
        <v>11012</v>
      </c>
      <c r="R135" s="619"/>
      <c r="S135" s="620"/>
      <c r="T135" s="180"/>
      <c r="U135" s="183"/>
    </row>
    <row r="136" spans="1:21" ht="13.5" customHeight="1">
      <c r="A136" s="1128"/>
      <c r="B136" s="1130"/>
      <c r="C136" s="1134"/>
      <c r="D136" s="1158"/>
      <c r="E136" s="1156"/>
      <c r="F136" s="1150"/>
      <c r="G136" s="1150"/>
      <c r="H136" s="1152"/>
      <c r="I136" s="1148"/>
      <c r="J136" s="1148"/>
      <c r="K136" s="1154"/>
      <c r="L136" s="357"/>
      <c r="M136" s="182"/>
      <c r="N136" s="180"/>
      <c r="O136" s="180"/>
      <c r="P136" s="183"/>
      <c r="Q136" s="69">
        <v>11013</v>
      </c>
      <c r="R136" s="207">
        <v>500</v>
      </c>
      <c r="S136" s="208">
        <v>500</v>
      </c>
      <c r="T136" s="180"/>
      <c r="U136" s="183"/>
    </row>
    <row r="137" spans="1:21" ht="45.75" customHeight="1">
      <c r="A137" s="823" t="s">
        <v>661</v>
      </c>
      <c r="B137" s="1094" t="s">
        <v>614</v>
      </c>
      <c r="C137" s="779"/>
      <c r="D137" s="770">
        <v>15000</v>
      </c>
      <c r="E137" s="772"/>
      <c r="F137" s="772"/>
      <c r="G137" s="780">
        <v>15000</v>
      </c>
      <c r="H137" s="775"/>
      <c r="I137" s="778"/>
      <c r="J137" s="778"/>
      <c r="K137" s="771"/>
      <c r="L137" s="353"/>
      <c r="M137" s="1014"/>
      <c r="N137" s="1015"/>
      <c r="O137" s="1015"/>
      <c r="P137" s="1020"/>
      <c r="Q137" s="71"/>
      <c r="R137" s="782"/>
      <c r="S137" s="776"/>
      <c r="T137" s="772"/>
      <c r="U137" s="781"/>
    </row>
    <row r="138" spans="1:21" ht="15" customHeight="1">
      <c r="A138" s="1128" t="s">
        <v>194</v>
      </c>
      <c r="B138" s="1130" t="s">
        <v>229</v>
      </c>
      <c r="C138" s="1131" t="s">
        <v>349</v>
      </c>
      <c r="D138" s="1158">
        <f>259837+8142</f>
        <v>267979</v>
      </c>
      <c r="E138" s="1156">
        <f>D138-G138</f>
        <v>267979</v>
      </c>
      <c r="F138" s="1150">
        <v>175318</v>
      </c>
      <c r="G138" s="1151"/>
      <c r="H138" s="1152">
        <f>926896+14900</f>
        <v>941796</v>
      </c>
      <c r="I138" s="1148">
        <f>H138-K138</f>
        <v>941796</v>
      </c>
      <c r="J138" s="1148">
        <f>894771-2000</f>
        <v>892771</v>
      </c>
      <c r="K138" s="1154"/>
      <c r="L138" s="481"/>
      <c r="M138" s="1019"/>
      <c r="N138" s="1018"/>
      <c r="O138" s="1018"/>
      <c r="P138" s="1066"/>
      <c r="Q138" s="69">
        <v>11011</v>
      </c>
      <c r="R138" s="207">
        <v>1300</v>
      </c>
      <c r="S138" s="208">
        <v>1300</v>
      </c>
      <c r="T138" s="180"/>
      <c r="U138" s="183"/>
    </row>
    <row r="139" spans="1:21" ht="15" customHeight="1">
      <c r="A139" s="1128"/>
      <c r="B139" s="1130"/>
      <c r="C139" s="1131"/>
      <c r="D139" s="1158"/>
      <c r="E139" s="1156"/>
      <c r="F139" s="1150"/>
      <c r="G139" s="1153"/>
      <c r="H139" s="1152"/>
      <c r="I139" s="1148"/>
      <c r="J139" s="1148"/>
      <c r="K139" s="1154"/>
      <c r="L139" s="481"/>
      <c r="M139" s="1019"/>
      <c r="N139" s="1018"/>
      <c r="O139" s="1018"/>
      <c r="P139" s="1066"/>
      <c r="Q139" s="69">
        <v>11013</v>
      </c>
      <c r="R139" s="207">
        <v>500</v>
      </c>
      <c r="S139" s="208">
        <v>500</v>
      </c>
      <c r="T139" s="180"/>
      <c r="U139" s="183"/>
    </row>
    <row r="140" spans="1:21" ht="15" customHeight="1">
      <c r="A140" s="1128" t="s">
        <v>195</v>
      </c>
      <c r="B140" s="1187" t="s">
        <v>732</v>
      </c>
      <c r="C140" s="1134" t="s">
        <v>349</v>
      </c>
      <c r="D140" s="1133">
        <f>577955+D143+D144+17594</f>
        <v>596404</v>
      </c>
      <c r="E140" s="1132">
        <f>D140-G140</f>
        <v>593454</v>
      </c>
      <c r="F140" s="1150">
        <f>441499+418</f>
        <v>441917</v>
      </c>
      <c r="G140" s="1151">
        <v>2950</v>
      </c>
      <c r="H140" s="1152">
        <f>937912+10400</f>
        <v>948312</v>
      </c>
      <c r="I140" s="1148">
        <f>H140-K140</f>
        <v>948312</v>
      </c>
      <c r="J140" s="1148">
        <f>905822-900</f>
        <v>904922</v>
      </c>
      <c r="K140" s="1154"/>
      <c r="L140" s="1205"/>
      <c r="M140" s="1158"/>
      <c r="N140" s="1156"/>
      <c r="O140" s="1156"/>
      <c r="P140" s="1155"/>
      <c r="Q140" s="69">
        <v>11011</v>
      </c>
      <c r="R140" s="207">
        <v>2000</v>
      </c>
      <c r="S140" s="208">
        <v>2000</v>
      </c>
      <c r="T140" s="180"/>
      <c r="U140" s="183"/>
    </row>
    <row r="141" spans="1:21" ht="15" customHeight="1">
      <c r="A141" s="1128"/>
      <c r="B141" s="1187"/>
      <c r="C141" s="1134"/>
      <c r="D141" s="1133"/>
      <c r="E141" s="1132"/>
      <c r="F141" s="1150"/>
      <c r="G141" s="1151"/>
      <c r="H141" s="1152"/>
      <c r="I141" s="1148"/>
      <c r="J141" s="1148"/>
      <c r="K141" s="1154"/>
      <c r="L141" s="1205"/>
      <c r="M141" s="1158"/>
      <c r="N141" s="1156"/>
      <c r="O141" s="1156"/>
      <c r="P141" s="1155"/>
      <c r="Q141" s="69">
        <v>11012</v>
      </c>
      <c r="R141" s="207">
        <v>15000</v>
      </c>
      <c r="S141" s="208">
        <v>15000</v>
      </c>
      <c r="T141" s="180"/>
      <c r="U141" s="183"/>
    </row>
    <row r="142" spans="1:21" ht="15.75" customHeight="1">
      <c r="A142" s="1128"/>
      <c r="B142" s="1187"/>
      <c r="C142" s="1134"/>
      <c r="D142" s="1133"/>
      <c r="E142" s="1132"/>
      <c r="F142" s="1150"/>
      <c r="G142" s="1151"/>
      <c r="H142" s="1152"/>
      <c r="I142" s="1148"/>
      <c r="J142" s="1148"/>
      <c r="K142" s="1154"/>
      <c r="L142" s="1205"/>
      <c r="M142" s="1158"/>
      <c r="N142" s="1156"/>
      <c r="O142" s="1156"/>
      <c r="P142" s="1155"/>
      <c r="Q142" s="69">
        <v>11013</v>
      </c>
      <c r="R142" s="207">
        <v>2500</v>
      </c>
      <c r="S142" s="208">
        <v>2500</v>
      </c>
      <c r="T142" s="180"/>
      <c r="U142" s="183"/>
    </row>
    <row r="143" spans="1:21" ht="18" customHeight="1">
      <c r="A143" s="821" t="s">
        <v>553</v>
      </c>
      <c r="B143" s="1095" t="s">
        <v>551</v>
      </c>
      <c r="C143" s="634"/>
      <c r="D143" s="635">
        <v>508</v>
      </c>
      <c r="E143" s="636">
        <f>+D143</f>
        <v>508</v>
      </c>
      <c r="F143" s="723"/>
      <c r="G143" s="644"/>
      <c r="H143" s="632"/>
      <c r="I143" s="628"/>
      <c r="J143" s="628"/>
      <c r="K143" s="629"/>
      <c r="L143" s="640"/>
      <c r="M143" s="653"/>
      <c r="N143" s="636"/>
      <c r="O143" s="636"/>
      <c r="P143" s="1067"/>
      <c r="Q143" s="69"/>
      <c r="R143" s="635"/>
      <c r="S143" s="636"/>
      <c r="T143" s="628"/>
      <c r="U143" s="279"/>
    </row>
    <row r="144" spans="1:21" ht="26.25" customHeight="1">
      <c r="A144" s="821" t="s">
        <v>554</v>
      </c>
      <c r="B144" s="1095" t="s">
        <v>552</v>
      </c>
      <c r="C144" s="634"/>
      <c r="D144" s="635">
        <v>347</v>
      </c>
      <c r="E144" s="636">
        <f>+D144</f>
        <v>347</v>
      </c>
      <c r="F144" s="723"/>
      <c r="G144" s="644"/>
      <c r="H144" s="632"/>
      <c r="I144" s="628"/>
      <c r="J144" s="628"/>
      <c r="K144" s="629"/>
      <c r="L144" s="640"/>
      <c r="M144" s="653"/>
      <c r="N144" s="636"/>
      <c r="O144" s="636"/>
      <c r="P144" s="1067"/>
      <c r="Q144" s="69"/>
      <c r="R144" s="635"/>
      <c r="S144" s="636"/>
      <c r="T144" s="628"/>
      <c r="U144" s="279"/>
    </row>
    <row r="145" spans="1:21" ht="16.5" customHeight="1">
      <c r="A145" s="1128" t="s">
        <v>196</v>
      </c>
      <c r="B145" s="1130" t="s">
        <v>336</v>
      </c>
      <c r="C145" s="1134" t="s">
        <v>349</v>
      </c>
      <c r="D145" s="1158">
        <f>206084+11306</f>
        <v>217390</v>
      </c>
      <c r="E145" s="1156">
        <f>D145-G145</f>
        <v>217390</v>
      </c>
      <c r="F145" s="1150">
        <v>138797</v>
      </c>
      <c r="G145" s="1153"/>
      <c r="H145" s="1152">
        <f>451318+3900</f>
        <v>455218</v>
      </c>
      <c r="I145" s="1148">
        <f>H145-K145</f>
        <v>455218</v>
      </c>
      <c r="J145" s="1148">
        <f>438602-2000</f>
        <v>436602</v>
      </c>
      <c r="K145" s="1154"/>
      <c r="L145" s="357"/>
      <c r="M145" s="1019"/>
      <c r="N145" s="1018"/>
      <c r="O145" s="1018"/>
      <c r="P145" s="1066"/>
      <c r="Q145" s="69">
        <v>11011</v>
      </c>
      <c r="R145" s="207">
        <v>600</v>
      </c>
      <c r="S145" s="208">
        <v>600</v>
      </c>
      <c r="T145" s="180"/>
      <c r="U145" s="183"/>
    </row>
    <row r="146" spans="1:21" ht="16.5" customHeight="1">
      <c r="A146" s="1128"/>
      <c r="B146" s="1130"/>
      <c r="C146" s="1134"/>
      <c r="D146" s="1158"/>
      <c r="E146" s="1156"/>
      <c r="F146" s="1150"/>
      <c r="G146" s="1153"/>
      <c r="H146" s="1152"/>
      <c r="I146" s="1148"/>
      <c r="J146" s="1148"/>
      <c r="K146" s="1154"/>
      <c r="L146" s="357"/>
      <c r="M146" s="1019"/>
      <c r="N146" s="1018"/>
      <c r="O146" s="1018"/>
      <c r="P146" s="1066"/>
      <c r="Q146" s="69">
        <v>11012</v>
      </c>
      <c r="R146" s="207">
        <v>7710</v>
      </c>
      <c r="S146" s="208">
        <v>7710</v>
      </c>
      <c r="T146" s="180"/>
      <c r="U146" s="183"/>
    </row>
    <row r="147" spans="1:21" ht="15" customHeight="1">
      <c r="A147" s="1128"/>
      <c r="B147" s="1130"/>
      <c r="C147" s="1134"/>
      <c r="D147" s="1158"/>
      <c r="E147" s="1156"/>
      <c r="F147" s="1150"/>
      <c r="G147" s="1153"/>
      <c r="H147" s="1152"/>
      <c r="I147" s="1148"/>
      <c r="J147" s="1148"/>
      <c r="K147" s="1154"/>
      <c r="L147" s="357"/>
      <c r="M147" s="1019"/>
      <c r="N147" s="1018"/>
      <c r="O147" s="1018"/>
      <c r="P147" s="1066"/>
      <c r="Q147" s="69">
        <v>11013</v>
      </c>
      <c r="R147" s="207">
        <v>600</v>
      </c>
      <c r="S147" s="208">
        <v>600</v>
      </c>
      <c r="T147" s="180"/>
      <c r="U147" s="183"/>
    </row>
    <row r="148" spans="1:21" ht="13.5" customHeight="1">
      <c r="A148" s="1128" t="s">
        <v>197</v>
      </c>
      <c r="B148" s="1130" t="s">
        <v>680</v>
      </c>
      <c r="C148" s="1131" t="s">
        <v>349</v>
      </c>
      <c r="D148" s="1158">
        <f>339752+19116</f>
        <v>358868</v>
      </c>
      <c r="E148" s="1156">
        <f>D148-G148</f>
        <v>358868</v>
      </c>
      <c r="F148" s="1150">
        <f>206303+90</f>
        <v>206393</v>
      </c>
      <c r="G148" s="1153"/>
      <c r="H148" s="1152">
        <f>505415+5100</f>
        <v>510515</v>
      </c>
      <c r="I148" s="1148">
        <f>H148-K148</f>
        <v>510515</v>
      </c>
      <c r="J148" s="1148">
        <f>490362-2300</f>
        <v>488062</v>
      </c>
      <c r="K148" s="1154"/>
      <c r="L148" s="1026" t="s">
        <v>483</v>
      </c>
      <c r="M148" s="653">
        <v>5000</v>
      </c>
      <c r="N148" s="636">
        <f>+M148</f>
        <v>5000</v>
      </c>
      <c r="O148" s="1018"/>
      <c r="P148" s="1066"/>
      <c r="Q148" s="69">
        <v>11011</v>
      </c>
      <c r="R148" s="207">
        <v>300</v>
      </c>
      <c r="S148" s="208">
        <v>300</v>
      </c>
      <c r="T148" s="180"/>
      <c r="U148" s="183"/>
    </row>
    <row r="149" spans="1:21" ht="13.5" customHeight="1">
      <c r="A149" s="1128"/>
      <c r="B149" s="1130"/>
      <c r="C149" s="1131"/>
      <c r="D149" s="1158"/>
      <c r="E149" s="1156"/>
      <c r="F149" s="1150"/>
      <c r="G149" s="1153"/>
      <c r="H149" s="1152"/>
      <c r="I149" s="1148"/>
      <c r="J149" s="1148"/>
      <c r="K149" s="1154"/>
      <c r="L149" s="481"/>
      <c r="M149" s="1019"/>
      <c r="N149" s="1018"/>
      <c r="O149" s="1018"/>
      <c r="P149" s="1066"/>
      <c r="Q149" s="69">
        <v>11013</v>
      </c>
      <c r="R149" s="207">
        <v>7100</v>
      </c>
      <c r="S149" s="208">
        <v>7100</v>
      </c>
      <c r="T149" s="180"/>
      <c r="U149" s="183"/>
    </row>
    <row r="150" spans="1:21" ht="19.5" hidden="1" customHeight="1">
      <c r="A150" s="760" t="s">
        <v>587</v>
      </c>
      <c r="B150" s="20" t="s">
        <v>550</v>
      </c>
      <c r="C150" s="761"/>
      <c r="D150" s="653"/>
      <c r="E150" s="636"/>
      <c r="F150" s="763"/>
      <c r="G150" s="765"/>
      <c r="H150" s="764"/>
      <c r="I150" s="762"/>
      <c r="J150" s="762"/>
      <c r="K150" s="766"/>
      <c r="L150" s="767"/>
      <c r="M150" s="1019"/>
      <c r="N150" s="1018"/>
      <c r="O150" s="1018"/>
      <c r="P150" s="1066"/>
      <c r="Q150" s="69"/>
      <c r="R150" s="653"/>
      <c r="S150" s="636"/>
      <c r="T150" s="180"/>
      <c r="U150" s="183"/>
    </row>
    <row r="151" spans="1:21" ht="16.5" customHeight="1">
      <c r="A151" s="1128" t="s">
        <v>198</v>
      </c>
      <c r="B151" s="1130" t="s">
        <v>304</v>
      </c>
      <c r="C151" s="1131" t="s">
        <v>349</v>
      </c>
      <c r="D151" s="1133">
        <f>355617+33418</f>
        <v>389035</v>
      </c>
      <c r="E151" s="1132">
        <f>D151-G151</f>
        <v>373453</v>
      </c>
      <c r="F151" s="1132">
        <v>246561</v>
      </c>
      <c r="G151" s="1151">
        <v>15582</v>
      </c>
      <c r="H151" s="1152">
        <f>1015312+16200</f>
        <v>1031512</v>
      </c>
      <c r="I151" s="1148">
        <f>H151-K151</f>
        <v>1031512</v>
      </c>
      <c r="J151" s="1148">
        <f>978759-2500</f>
        <v>976259</v>
      </c>
      <c r="K151" s="1154"/>
      <c r="L151" s="481"/>
      <c r="M151" s="1012"/>
      <c r="N151" s="1011"/>
      <c r="O151" s="1011"/>
      <c r="P151" s="1068"/>
      <c r="Q151" s="69">
        <v>11011</v>
      </c>
      <c r="R151" s="207">
        <v>1200</v>
      </c>
      <c r="S151" s="208">
        <v>1200</v>
      </c>
      <c r="T151" s="463"/>
      <c r="U151" s="209"/>
    </row>
    <row r="152" spans="1:21" ht="16.5" customHeight="1">
      <c r="A152" s="1128"/>
      <c r="B152" s="1130"/>
      <c r="C152" s="1131"/>
      <c r="D152" s="1133"/>
      <c r="E152" s="1132"/>
      <c r="F152" s="1132"/>
      <c r="G152" s="1151"/>
      <c r="H152" s="1152"/>
      <c r="I152" s="1148"/>
      <c r="J152" s="1148"/>
      <c r="K152" s="1154"/>
      <c r="L152" s="1002"/>
      <c r="M152" s="1012"/>
      <c r="N152" s="1011"/>
      <c r="O152" s="1011"/>
      <c r="P152" s="1068"/>
      <c r="Q152" s="69">
        <v>11012</v>
      </c>
      <c r="R152" s="653">
        <v>3060</v>
      </c>
      <c r="S152" s="636">
        <v>3060</v>
      </c>
      <c r="T152" s="1001"/>
      <c r="U152" s="209"/>
    </row>
    <row r="153" spans="1:21" ht="13.5" customHeight="1">
      <c r="A153" s="1128"/>
      <c r="B153" s="1130"/>
      <c r="C153" s="1131"/>
      <c r="D153" s="1133"/>
      <c r="E153" s="1132"/>
      <c r="F153" s="1132"/>
      <c r="G153" s="1151"/>
      <c r="H153" s="1152"/>
      <c r="I153" s="1148"/>
      <c r="J153" s="1148"/>
      <c r="K153" s="1154"/>
      <c r="L153" s="481"/>
      <c r="M153" s="1012"/>
      <c r="N153" s="1011"/>
      <c r="O153" s="1011"/>
      <c r="P153" s="1068"/>
      <c r="Q153" s="69">
        <v>11013</v>
      </c>
      <c r="R153" s="207">
        <v>2200</v>
      </c>
      <c r="S153" s="208">
        <v>2200</v>
      </c>
      <c r="T153" s="463"/>
      <c r="U153" s="209"/>
    </row>
    <row r="154" spans="1:21" ht="23.25" customHeight="1">
      <c r="A154" s="464" t="s">
        <v>199</v>
      </c>
      <c r="B154" s="111" t="s">
        <v>310</v>
      </c>
      <c r="C154" s="465" t="s">
        <v>349</v>
      </c>
      <c r="D154" s="468">
        <f>260391+11366</f>
        <v>271757</v>
      </c>
      <c r="E154" s="467">
        <f>D154-G154</f>
        <v>271757</v>
      </c>
      <c r="F154" s="724">
        <v>185391</v>
      </c>
      <c r="G154" s="482"/>
      <c r="H154" s="627">
        <f>1073282+19100</f>
        <v>1092382</v>
      </c>
      <c r="I154" s="626">
        <f>H154-K154</f>
        <v>1092382</v>
      </c>
      <c r="J154" s="626">
        <f>1032884-1600</f>
        <v>1031284</v>
      </c>
      <c r="K154" s="479"/>
      <c r="L154" s="357"/>
      <c r="M154" s="1012"/>
      <c r="N154" s="1011"/>
      <c r="O154" s="1011"/>
      <c r="P154" s="1068"/>
      <c r="Q154" s="69">
        <v>11011</v>
      </c>
      <c r="R154" s="207">
        <v>2000</v>
      </c>
      <c r="S154" s="208">
        <v>2000</v>
      </c>
      <c r="T154" s="463"/>
      <c r="U154" s="209"/>
    </row>
    <row r="155" spans="1:21" ht="17.25" customHeight="1">
      <c r="A155" s="1128" t="s">
        <v>200</v>
      </c>
      <c r="B155" s="1130" t="s">
        <v>312</v>
      </c>
      <c r="C155" s="1134" t="s">
        <v>349</v>
      </c>
      <c r="D155" s="1158">
        <f>224694+17374</f>
        <v>242068</v>
      </c>
      <c r="E155" s="1132">
        <f>D155-G155</f>
        <v>238260</v>
      </c>
      <c r="F155" s="1150">
        <v>166592</v>
      </c>
      <c r="G155" s="1151">
        <v>3808</v>
      </c>
      <c r="H155" s="1152">
        <f>531755+6100</f>
        <v>537855</v>
      </c>
      <c r="I155" s="1148">
        <f>H155-K155</f>
        <v>537855</v>
      </c>
      <c r="J155" s="1148">
        <f>514952-600</f>
        <v>514352</v>
      </c>
      <c r="K155" s="1154"/>
      <c r="L155" s="478"/>
      <c r="M155" s="1012"/>
      <c r="N155" s="1011"/>
      <c r="O155" s="1011"/>
      <c r="P155" s="1068"/>
      <c r="Q155" s="69">
        <v>11011</v>
      </c>
      <c r="R155" s="207">
        <v>1000</v>
      </c>
      <c r="S155" s="208">
        <v>1000</v>
      </c>
      <c r="T155" s="180"/>
      <c r="U155" s="183"/>
    </row>
    <row r="156" spans="1:21" ht="17.25" customHeight="1">
      <c r="A156" s="1128"/>
      <c r="B156" s="1130"/>
      <c r="C156" s="1134"/>
      <c r="D156" s="1158"/>
      <c r="E156" s="1132"/>
      <c r="F156" s="1150"/>
      <c r="G156" s="1151"/>
      <c r="H156" s="1152"/>
      <c r="I156" s="1148"/>
      <c r="J156" s="1148"/>
      <c r="K156" s="1154"/>
      <c r="L156" s="478"/>
      <c r="M156" s="1012"/>
      <c r="N156" s="1011"/>
      <c r="O156" s="1011"/>
      <c r="P156" s="1068"/>
      <c r="Q156" s="69">
        <v>11012</v>
      </c>
      <c r="R156" s="207">
        <v>11000</v>
      </c>
      <c r="S156" s="208">
        <v>11000</v>
      </c>
      <c r="T156" s="180"/>
      <c r="U156" s="183"/>
    </row>
    <row r="157" spans="1:21" ht="17.25" customHeight="1">
      <c r="A157" s="1128"/>
      <c r="B157" s="1130"/>
      <c r="C157" s="1134"/>
      <c r="D157" s="1158"/>
      <c r="E157" s="1132"/>
      <c r="F157" s="1150"/>
      <c r="G157" s="1151"/>
      <c r="H157" s="1152"/>
      <c r="I157" s="1148"/>
      <c r="J157" s="1148"/>
      <c r="K157" s="1154"/>
      <c r="L157" s="478"/>
      <c r="M157" s="1012"/>
      <c r="N157" s="1011"/>
      <c r="O157" s="1011"/>
      <c r="P157" s="1068"/>
      <c r="Q157" s="69">
        <v>11013</v>
      </c>
      <c r="R157" s="207">
        <v>1000</v>
      </c>
      <c r="S157" s="208">
        <v>1000</v>
      </c>
      <c r="T157" s="180"/>
      <c r="U157" s="183"/>
    </row>
    <row r="158" spans="1:21" ht="16.5" customHeight="1">
      <c r="A158" s="1128" t="s">
        <v>201</v>
      </c>
      <c r="B158" s="1130" t="s">
        <v>236</v>
      </c>
      <c r="C158" s="1134" t="s">
        <v>349</v>
      </c>
      <c r="D158" s="1158">
        <f>236753+13222</f>
        <v>249975</v>
      </c>
      <c r="E158" s="1156">
        <f>D158-G158</f>
        <v>249975</v>
      </c>
      <c r="F158" s="1150">
        <v>147667</v>
      </c>
      <c r="G158" s="1153"/>
      <c r="H158" s="1152">
        <f>421775+3500</f>
        <v>425275</v>
      </c>
      <c r="I158" s="1148">
        <f>H158-K158</f>
        <v>425275</v>
      </c>
      <c r="J158" s="1148">
        <f>409477-300</f>
        <v>409177</v>
      </c>
      <c r="K158" s="1154"/>
      <c r="L158" s="1157"/>
      <c r="M158" s="1158"/>
      <c r="N158" s="1156"/>
      <c r="O158" s="1156"/>
      <c r="P158" s="1155"/>
      <c r="Q158" s="69">
        <v>11011</v>
      </c>
      <c r="R158" s="207">
        <v>700</v>
      </c>
      <c r="S158" s="208">
        <v>700</v>
      </c>
      <c r="T158" s="180"/>
      <c r="U158" s="183"/>
    </row>
    <row r="159" spans="1:21" ht="14.25" customHeight="1">
      <c r="A159" s="1128"/>
      <c r="B159" s="1130"/>
      <c r="C159" s="1134"/>
      <c r="D159" s="1158"/>
      <c r="E159" s="1156"/>
      <c r="F159" s="1150"/>
      <c r="G159" s="1153"/>
      <c r="H159" s="1152"/>
      <c r="I159" s="1148"/>
      <c r="J159" s="1148"/>
      <c r="K159" s="1154"/>
      <c r="L159" s="1157"/>
      <c r="M159" s="1158"/>
      <c r="N159" s="1156"/>
      <c r="O159" s="1156"/>
      <c r="P159" s="1155"/>
      <c r="Q159" s="69">
        <v>11012</v>
      </c>
      <c r="R159" s="207">
        <v>10764</v>
      </c>
      <c r="S159" s="208">
        <v>10764</v>
      </c>
      <c r="T159" s="180"/>
      <c r="U159" s="183"/>
    </row>
    <row r="160" spans="1:21" ht="14.25" customHeight="1">
      <c r="A160" s="1128" t="s">
        <v>202</v>
      </c>
      <c r="B160" s="1130" t="s">
        <v>238</v>
      </c>
      <c r="C160" s="80" t="s">
        <v>355</v>
      </c>
      <c r="D160" s="1152">
        <v>200</v>
      </c>
      <c r="E160" s="1148">
        <f>+D160</f>
        <v>200</v>
      </c>
      <c r="F160" s="1186"/>
      <c r="G160" s="1179"/>
      <c r="H160" s="1152">
        <f>352857+1800</f>
        <v>354657</v>
      </c>
      <c r="I160" s="1148">
        <f>H160-K160</f>
        <v>354657</v>
      </c>
      <c r="J160" s="1148">
        <f>345591-1500</f>
        <v>344091</v>
      </c>
      <c r="K160" s="1154"/>
      <c r="L160" s="481" t="s">
        <v>483</v>
      </c>
      <c r="M160" s="170">
        <v>314900</v>
      </c>
      <c r="N160" s="210">
        <f>+M160</f>
        <v>314900</v>
      </c>
      <c r="O160" s="171">
        <v>175000</v>
      </c>
      <c r="P160" s="1020"/>
      <c r="Q160" s="1160">
        <v>11011</v>
      </c>
      <c r="R160" s="1142">
        <v>1500</v>
      </c>
      <c r="S160" s="1143">
        <v>1500</v>
      </c>
      <c r="T160" s="1145"/>
      <c r="U160" s="1159"/>
    </row>
    <row r="161" spans="1:21" ht="14.25" customHeight="1">
      <c r="A161" s="1128"/>
      <c r="B161" s="1130"/>
      <c r="C161" s="80" t="s">
        <v>349</v>
      </c>
      <c r="D161" s="1152"/>
      <c r="E161" s="1148"/>
      <c r="F161" s="1186"/>
      <c r="G161" s="1179"/>
      <c r="H161" s="1152"/>
      <c r="I161" s="1148"/>
      <c r="J161" s="1148"/>
      <c r="K161" s="1154"/>
      <c r="L161" s="481"/>
      <c r="M161" s="170"/>
      <c r="N161" s="210"/>
      <c r="O161" s="175"/>
      <c r="P161" s="1020"/>
      <c r="Q161" s="1160"/>
      <c r="R161" s="1142"/>
      <c r="S161" s="1143"/>
      <c r="T161" s="1145"/>
      <c r="U161" s="1159"/>
    </row>
    <row r="162" spans="1:21" ht="15.75" customHeight="1">
      <c r="A162" s="1128" t="s">
        <v>486</v>
      </c>
      <c r="B162" s="1130" t="s">
        <v>221</v>
      </c>
      <c r="C162" s="1134" t="s">
        <v>349</v>
      </c>
      <c r="D162" s="1133">
        <f>449908+2192</f>
        <v>452100</v>
      </c>
      <c r="E162" s="1132">
        <f>D162-G162</f>
        <v>452100</v>
      </c>
      <c r="F162" s="1150">
        <v>400122</v>
      </c>
      <c r="G162" s="1151"/>
      <c r="H162" s="1152">
        <f>265242</f>
        <v>265242</v>
      </c>
      <c r="I162" s="1148">
        <f>H162-K162</f>
        <v>265242</v>
      </c>
      <c r="J162" s="1148">
        <f>254746-900</f>
        <v>253846</v>
      </c>
      <c r="K162" s="1165"/>
      <c r="L162" s="355" t="s">
        <v>483</v>
      </c>
      <c r="M162" s="170">
        <v>6500</v>
      </c>
      <c r="N162" s="210">
        <f>+M162</f>
        <v>6500</v>
      </c>
      <c r="O162" s="1015"/>
      <c r="P162" s="1020"/>
      <c r="Q162" s="69">
        <v>11012</v>
      </c>
      <c r="R162" s="476">
        <v>47475</v>
      </c>
      <c r="S162" s="475">
        <v>47475</v>
      </c>
      <c r="T162" s="470"/>
      <c r="U162" s="474"/>
    </row>
    <row r="163" spans="1:21" ht="15.75" customHeight="1">
      <c r="A163" s="1128"/>
      <c r="B163" s="1130"/>
      <c r="C163" s="1134"/>
      <c r="D163" s="1133"/>
      <c r="E163" s="1132"/>
      <c r="F163" s="1150"/>
      <c r="G163" s="1151"/>
      <c r="H163" s="1152"/>
      <c r="I163" s="1148"/>
      <c r="J163" s="1148"/>
      <c r="K163" s="1166"/>
      <c r="L163" s="355"/>
      <c r="M163" s="170"/>
      <c r="N163" s="210"/>
      <c r="O163" s="1015"/>
      <c r="P163" s="1020"/>
      <c r="Q163" s="69"/>
      <c r="R163" s="476"/>
      <c r="S163" s="475"/>
      <c r="T163" s="470"/>
      <c r="U163" s="474"/>
    </row>
    <row r="164" spans="1:21" ht="15.75" customHeight="1">
      <c r="A164" s="1128" t="s">
        <v>698</v>
      </c>
      <c r="B164" s="1130" t="s">
        <v>205</v>
      </c>
      <c r="C164" s="1134" t="s">
        <v>349</v>
      </c>
      <c r="D164" s="1133">
        <f>526341+7185</f>
        <v>533526</v>
      </c>
      <c r="E164" s="1132">
        <f>D164-G164</f>
        <v>533526</v>
      </c>
      <c r="F164" s="1150">
        <v>470053</v>
      </c>
      <c r="G164" s="1178"/>
      <c r="H164" s="1152">
        <f>375950</f>
        <v>375950</v>
      </c>
      <c r="I164" s="1148">
        <f>H164-K164</f>
        <v>375950</v>
      </c>
      <c r="J164" s="1148">
        <f>360670-1500</f>
        <v>359170</v>
      </c>
      <c r="K164" s="1164"/>
      <c r="L164" s="355" t="s">
        <v>483</v>
      </c>
      <c r="M164" s="213">
        <v>7500</v>
      </c>
      <c r="N164" s="210">
        <f>+M164</f>
        <v>7500</v>
      </c>
      <c r="O164" s="1015"/>
      <c r="P164" s="1020"/>
      <c r="Q164" s="69"/>
      <c r="R164" s="476"/>
      <c r="S164" s="475"/>
      <c r="T164" s="470"/>
      <c r="U164" s="474"/>
    </row>
    <row r="165" spans="1:21" ht="15.75" customHeight="1">
      <c r="A165" s="1128"/>
      <c r="B165" s="1130"/>
      <c r="C165" s="1134"/>
      <c r="D165" s="1133"/>
      <c r="E165" s="1132"/>
      <c r="F165" s="1150"/>
      <c r="G165" s="1178"/>
      <c r="H165" s="1152"/>
      <c r="I165" s="1148"/>
      <c r="J165" s="1148"/>
      <c r="K165" s="1164"/>
      <c r="L165" s="355"/>
      <c r="M165" s="213"/>
      <c r="N165" s="210"/>
      <c r="O165" s="1015"/>
      <c r="P165" s="1020"/>
      <c r="Q165" s="69">
        <v>11012</v>
      </c>
      <c r="R165" s="476">
        <v>89200</v>
      </c>
      <c r="S165" s="475">
        <v>89200</v>
      </c>
      <c r="T165" s="470"/>
      <c r="U165" s="474"/>
    </row>
    <row r="166" spans="1:21" ht="15.75" customHeight="1">
      <c r="A166" s="1128" t="s">
        <v>203</v>
      </c>
      <c r="B166" s="1130" t="s">
        <v>206</v>
      </c>
      <c r="C166" s="1134" t="s">
        <v>349</v>
      </c>
      <c r="D166" s="1133">
        <f>578432+4687</f>
        <v>583119</v>
      </c>
      <c r="E166" s="1132">
        <f>D166-G166</f>
        <v>583119</v>
      </c>
      <c r="F166" s="1150">
        <v>510788</v>
      </c>
      <c r="G166" s="1178"/>
      <c r="H166" s="1152">
        <f>434870</f>
        <v>434870</v>
      </c>
      <c r="I166" s="1148">
        <f>H166-K166</f>
        <v>434870</v>
      </c>
      <c r="J166" s="1148">
        <f>417187-2000</f>
        <v>415187</v>
      </c>
      <c r="K166" s="1164"/>
      <c r="L166" s="355" t="s">
        <v>483</v>
      </c>
      <c r="M166" s="213">
        <v>11000</v>
      </c>
      <c r="N166" s="210">
        <f>+M166</f>
        <v>11000</v>
      </c>
      <c r="O166" s="1015"/>
      <c r="P166" s="1020"/>
      <c r="Q166" s="69">
        <v>11011</v>
      </c>
      <c r="R166" s="476">
        <v>1500</v>
      </c>
      <c r="S166" s="475">
        <v>1500</v>
      </c>
      <c r="T166" s="470"/>
      <c r="U166" s="474"/>
    </row>
    <row r="167" spans="1:21" ht="15.75" customHeight="1">
      <c r="A167" s="1128"/>
      <c r="B167" s="1130"/>
      <c r="C167" s="1134"/>
      <c r="D167" s="1133"/>
      <c r="E167" s="1132"/>
      <c r="F167" s="1150"/>
      <c r="G167" s="1178"/>
      <c r="H167" s="1152"/>
      <c r="I167" s="1148"/>
      <c r="J167" s="1148"/>
      <c r="K167" s="1164"/>
      <c r="L167" s="355"/>
      <c r="M167" s="213"/>
      <c r="N167" s="210"/>
      <c r="O167" s="1015"/>
      <c r="P167" s="1020"/>
      <c r="Q167" s="69">
        <v>11012</v>
      </c>
      <c r="R167" s="476">
        <v>105730</v>
      </c>
      <c r="S167" s="475">
        <v>105730</v>
      </c>
      <c r="T167" s="470"/>
      <c r="U167" s="474"/>
    </row>
    <row r="168" spans="1:21" ht="14.25" customHeight="1">
      <c r="A168" s="1128" t="s">
        <v>204</v>
      </c>
      <c r="B168" s="1130" t="s">
        <v>148</v>
      </c>
      <c r="C168" s="1131" t="s">
        <v>349</v>
      </c>
      <c r="D168" s="1133">
        <f>626864+300+2455</f>
        <v>629619</v>
      </c>
      <c r="E168" s="1132">
        <f>+D168</f>
        <v>629619</v>
      </c>
      <c r="F168" s="1150">
        <v>583561</v>
      </c>
      <c r="G168" s="1178"/>
      <c r="H168" s="1176">
        <v>8237</v>
      </c>
      <c r="I168" s="1167">
        <f>H168-K168</f>
        <v>8237</v>
      </c>
      <c r="J168" s="1167">
        <v>8120</v>
      </c>
      <c r="K168" s="1169"/>
      <c r="L168" s="481"/>
      <c r="M168" s="1017"/>
      <c r="N168" s="1016"/>
      <c r="O168" s="1016"/>
      <c r="P168" s="1020"/>
      <c r="Q168" s="69">
        <v>11012</v>
      </c>
      <c r="R168" s="476">
        <v>41688</v>
      </c>
      <c r="S168" s="208">
        <v>41688</v>
      </c>
      <c r="T168" s="163">
        <v>41100</v>
      </c>
      <c r="U168" s="469"/>
    </row>
    <row r="169" spans="1:21" ht="14.25" customHeight="1">
      <c r="A169" s="1128"/>
      <c r="B169" s="1130"/>
      <c r="C169" s="1131"/>
      <c r="D169" s="1133"/>
      <c r="E169" s="1132"/>
      <c r="F169" s="1150"/>
      <c r="G169" s="1178"/>
      <c r="H169" s="1177"/>
      <c r="I169" s="1168"/>
      <c r="J169" s="1168"/>
      <c r="K169" s="1170"/>
      <c r="L169" s="481"/>
      <c r="M169" s="1014"/>
      <c r="N169" s="1015"/>
      <c r="O169" s="1015"/>
      <c r="P169" s="1020"/>
      <c r="Q169" s="69"/>
      <c r="R169" s="476"/>
      <c r="S169" s="475"/>
      <c r="T169" s="470"/>
      <c r="U169" s="474"/>
    </row>
    <row r="170" spans="1:21" ht="24.75" customHeight="1">
      <c r="A170" s="847" t="s">
        <v>699</v>
      </c>
      <c r="B170" s="462" t="s">
        <v>396</v>
      </c>
      <c r="C170" s="466" t="s">
        <v>349</v>
      </c>
      <c r="D170" s="468">
        <f>227861+D171+D172+D174+1172+D173</f>
        <v>304783</v>
      </c>
      <c r="E170" s="467">
        <f>D170-G170</f>
        <v>304783</v>
      </c>
      <c r="F170" s="845">
        <f>195585+F174</f>
        <v>236935</v>
      </c>
      <c r="G170" s="503"/>
      <c r="H170" s="468">
        <v>74039</v>
      </c>
      <c r="I170" s="467">
        <f>H170-K170</f>
        <v>74039</v>
      </c>
      <c r="J170" s="467">
        <v>72988</v>
      </c>
      <c r="K170" s="471"/>
      <c r="L170" s="357"/>
      <c r="M170" s="1014"/>
      <c r="N170" s="1015"/>
      <c r="O170" s="1015"/>
      <c r="P170" s="1020"/>
      <c r="Q170" s="69">
        <v>11013</v>
      </c>
      <c r="R170" s="476">
        <v>30000</v>
      </c>
      <c r="S170" s="475">
        <v>30000</v>
      </c>
      <c r="T170" s="470"/>
      <c r="U170" s="474"/>
    </row>
    <row r="171" spans="1:21" ht="26.25" customHeight="1">
      <c r="A171" s="848" t="s">
        <v>700</v>
      </c>
      <c r="B171" s="676" t="s">
        <v>207</v>
      </c>
      <c r="C171" s="466" t="s">
        <v>349</v>
      </c>
      <c r="D171" s="473">
        <v>3800</v>
      </c>
      <c r="E171" s="470">
        <f>+D171</f>
        <v>3800</v>
      </c>
      <c r="F171" s="470"/>
      <c r="G171" s="504"/>
      <c r="H171" s="477"/>
      <c r="I171" s="463"/>
      <c r="J171" s="463"/>
      <c r="K171" s="471"/>
      <c r="L171" s="353"/>
      <c r="M171" s="1014"/>
      <c r="N171" s="1015"/>
      <c r="O171" s="1015"/>
      <c r="P171" s="1020"/>
      <c r="Q171" s="71"/>
      <c r="R171" s="476"/>
      <c r="S171" s="475"/>
      <c r="T171" s="470"/>
      <c r="U171" s="474"/>
    </row>
    <row r="172" spans="1:21" ht="26.25" customHeight="1">
      <c r="A172" s="848" t="s">
        <v>701</v>
      </c>
      <c r="B172" s="1094" t="s">
        <v>611</v>
      </c>
      <c r="C172" s="1073" t="s">
        <v>349</v>
      </c>
      <c r="D172" s="615">
        <v>8000</v>
      </c>
      <c r="E172" s="613">
        <f>+D172</f>
        <v>8000</v>
      </c>
      <c r="F172" s="613"/>
      <c r="G172" s="623"/>
      <c r="H172" s="621"/>
      <c r="I172" s="618"/>
      <c r="J172" s="618"/>
      <c r="K172" s="614"/>
      <c r="L172" s="353"/>
      <c r="M172" s="1014"/>
      <c r="N172" s="1015"/>
      <c r="O172" s="1015"/>
      <c r="P172" s="1020"/>
      <c r="Q172" s="71"/>
      <c r="R172" s="617"/>
      <c r="S172" s="616"/>
      <c r="T172" s="613"/>
      <c r="U172" s="622"/>
    </row>
    <row r="173" spans="1:21" ht="27" customHeight="1">
      <c r="A173" s="1071" t="s">
        <v>730</v>
      </c>
      <c r="B173" s="100" t="s">
        <v>618</v>
      </c>
      <c r="C173" s="1073" t="s">
        <v>349</v>
      </c>
      <c r="D173" s="473">
        <v>14000</v>
      </c>
      <c r="E173" s="846">
        <f>+D173</f>
        <v>14000</v>
      </c>
      <c r="F173" s="470"/>
      <c r="G173" s="471"/>
      <c r="H173" s="473"/>
      <c r="I173" s="470"/>
      <c r="J173" s="470"/>
      <c r="K173" s="471"/>
      <c r="L173" s="353"/>
      <c r="M173" s="1014"/>
      <c r="N173" s="1015"/>
      <c r="O173" s="1015"/>
      <c r="P173" s="1020"/>
      <c r="Q173" s="71"/>
      <c r="R173" s="473"/>
      <c r="S173" s="470"/>
      <c r="T173" s="470"/>
      <c r="U173" s="474"/>
    </row>
    <row r="174" spans="1:21" ht="21.75" customHeight="1" thickBot="1">
      <c r="A174" s="1071" t="s">
        <v>731</v>
      </c>
      <c r="B174" s="1094" t="s">
        <v>612</v>
      </c>
      <c r="C174" s="466" t="s">
        <v>349</v>
      </c>
      <c r="D174" s="473">
        <v>49950</v>
      </c>
      <c r="E174" s="470">
        <f>+D174</f>
        <v>49950</v>
      </c>
      <c r="F174" s="470">
        <v>41350</v>
      </c>
      <c r="G174" s="504"/>
      <c r="H174" s="477"/>
      <c r="I174" s="463"/>
      <c r="J174" s="463"/>
      <c r="K174" s="471"/>
      <c r="L174" s="353"/>
      <c r="M174" s="302"/>
      <c r="N174" s="303"/>
      <c r="O174" s="303"/>
      <c r="P174" s="305"/>
      <c r="Q174" s="71"/>
      <c r="R174" s="476"/>
      <c r="S174" s="475"/>
      <c r="T174" s="470"/>
      <c r="U174" s="474"/>
    </row>
    <row r="175" spans="1:21" ht="46.5" hidden="1" customHeight="1">
      <c r="A175" s="777"/>
      <c r="B175" s="786" t="s">
        <v>578</v>
      </c>
      <c r="C175" s="404"/>
      <c r="D175" s="775"/>
      <c r="E175" s="778"/>
      <c r="F175" s="778"/>
      <c r="G175" s="774"/>
      <c r="H175" s="775"/>
      <c r="I175" s="778"/>
      <c r="J175" s="778"/>
      <c r="K175" s="773"/>
      <c r="L175" s="357"/>
      <c r="M175" s="1025"/>
      <c r="N175" s="1021"/>
      <c r="O175" s="1021"/>
      <c r="P175" s="1065"/>
      <c r="Q175" s="53"/>
      <c r="R175" s="775"/>
      <c r="S175" s="778"/>
      <c r="T175" s="778"/>
      <c r="U175" s="781"/>
    </row>
    <row r="176" spans="1:21" ht="16.5" hidden="1" customHeight="1">
      <c r="A176" s="783"/>
      <c r="B176" s="119"/>
      <c r="C176" s="779"/>
      <c r="D176" s="770"/>
      <c r="E176" s="772"/>
      <c r="F176" s="772"/>
      <c r="G176" s="780"/>
      <c r="H176" s="775"/>
      <c r="I176" s="778"/>
      <c r="J176" s="778"/>
      <c r="K176" s="771"/>
      <c r="L176" s="353"/>
      <c r="M176" s="770"/>
      <c r="N176" s="772"/>
      <c r="O176" s="772"/>
      <c r="P176" s="771"/>
      <c r="Q176" s="50"/>
      <c r="R176" s="782"/>
      <c r="S176" s="776"/>
      <c r="T176" s="772"/>
      <c r="U176" s="781"/>
    </row>
    <row r="177" spans="1:21" ht="47.25" hidden="1" customHeight="1">
      <c r="A177" s="480"/>
      <c r="B177" s="510" t="s">
        <v>519</v>
      </c>
      <c r="C177" s="466"/>
      <c r="D177" s="508">
        <f>SUM(D179:D187)</f>
        <v>0</v>
      </c>
      <c r="E177" s="509">
        <f>SUM(E179:E187)</f>
        <v>0</v>
      </c>
      <c r="F177" s="470"/>
      <c r="G177" s="504"/>
      <c r="H177" s="477"/>
      <c r="I177" s="463"/>
      <c r="J177" s="463"/>
      <c r="K177" s="471"/>
      <c r="L177" s="353"/>
      <c r="M177" s="473"/>
      <c r="N177" s="470"/>
      <c r="O177" s="470"/>
      <c r="P177" s="471"/>
      <c r="Q177" s="50"/>
      <c r="R177" s="476"/>
      <c r="S177" s="475"/>
      <c r="T177" s="470"/>
      <c r="U177" s="474"/>
    </row>
    <row r="178" spans="1:21" ht="16.5" hidden="1" customHeight="1">
      <c r="A178" s="480"/>
      <c r="B178" s="119" t="s">
        <v>373</v>
      </c>
      <c r="C178" s="466"/>
      <c r="D178" s="473"/>
      <c r="E178" s="470"/>
      <c r="F178" s="470"/>
      <c r="G178" s="504"/>
      <c r="H178" s="477"/>
      <c r="I178" s="463"/>
      <c r="J178" s="463"/>
      <c r="K178" s="471"/>
      <c r="L178" s="353"/>
      <c r="M178" s="473"/>
      <c r="N178" s="470"/>
      <c r="O178" s="470"/>
      <c r="P178" s="471"/>
      <c r="Q178" s="50"/>
      <c r="R178" s="476"/>
      <c r="S178" s="475"/>
      <c r="T178" s="470"/>
      <c r="U178" s="474"/>
    </row>
    <row r="179" spans="1:21" ht="16.5" hidden="1" customHeight="1">
      <c r="A179" s="497" t="s">
        <v>520</v>
      </c>
      <c r="B179" s="499" t="s">
        <v>228</v>
      </c>
      <c r="C179" s="466"/>
      <c r="D179" s="473"/>
      <c r="E179" s="470"/>
      <c r="F179" s="470"/>
      <c r="G179" s="504"/>
      <c r="H179" s="477"/>
      <c r="I179" s="463"/>
      <c r="J179" s="463"/>
      <c r="K179" s="471"/>
      <c r="L179" s="353"/>
      <c r="M179" s="473"/>
      <c r="N179" s="470"/>
      <c r="O179" s="470"/>
      <c r="P179" s="471"/>
      <c r="Q179" s="50"/>
      <c r="R179" s="476"/>
      <c r="S179" s="475"/>
      <c r="T179" s="470"/>
      <c r="U179" s="474"/>
    </row>
    <row r="180" spans="1:21" ht="27.75" hidden="1" customHeight="1">
      <c r="A180" s="497" t="s">
        <v>521</v>
      </c>
      <c r="B180" s="499" t="s">
        <v>336</v>
      </c>
      <c r="C180" s="466"/>
      <c r="D180" s="473"/>
      <c r="E180" s="470"/>
      <c r="F180" s="470"/>
      <c r="G180" s="504"/>
      <c r="H180" s="477"/>
      <c r="I180" s="463"/>
      <c r="J180" s="463"/>
      <c r="K180" s="471"/>
      <c r="L180" s="353"/>
      <c r="M180" s="473"/>
      <c r="N180" s="470"/>
      <c r="O180" s="470"/>
      <c r="P180" s="471"/>
      <c r="Q180" s="50"/>
      <c r="R180" s="476"/>
      <c r="S180" s="475"/>
      <c r="T180" s="470"/>
      <c r="U180" s="474"/>
    </row>
    <row r="181" spans="1:21" ht="24" hidden="1" customHeight="1">
      <c r="A181" s="497" t="s">
        <v>522</v>
      </c>
      <c r="B181" s="499" t="s">
        <v>311</v>
      </c>
      <c r="C181" s="466"/>
      <c r="D181" s="473"/>
      <c r="E181" s="470"/>
      <c r="F181" s="470"/>
      <c r="G181" s="504"/>
      <c r="H181" s="477"/>
      <c r="I181" s="463"/>
      <c r="J181" s="463"/>
      <c r="K181" s="471"/>
      <c r="L181" s="353"/>
      <c r="M181" s="473"/>
      <c r="N181" s="470"/>
      <c r="O181" s="470"/>
      <c r="P181" s="471"/>
      <c r="Q181" s="50"/>
      <c r="R181" s="476"/>
      <c r="S181" s="475"/>
      <c r="T181" s="470"/>
      <c r="U181" s="474"/>
    </row>
    <row r="182" spans="1:21" ht="19.5" hidden="1" customHeight="1">
      <c r="A182" s="497" t="s">
        <v>523</v>
      </c>
      <c r="B182" s="499" t="s">
        <v>312</v>
      </c>
      <c r="C182" s="466"/>
      <c r="D182" s="473"/>
      <c r="E182" s="470"/>
      <c r="F182" s="470"/>
      <c r="G182" s="504"/>
      <c r="H182" s="477"/>
      <c r="I182" s="463"/>
      <c r="J182" s="463"/>
      <c r="K182" s="471"/>
      <c r="L182" s="353"/>
      <c r="M182" s="473"/>
      <c r="N182" s="470"/>
      <c r="O182" s="470"/>
      <c r="P182" s="471"/>
      <c r="Q182" s="50"/>
      <c r="R182" s="476"/>
      <c r="S182" s="475"/>
      <c r="T182" s="470"/>
      <c r="U182" s="474"/>
    </row>
    <row r="183" spans="1:21" ht="27" hidden="1" customHeight="1">
      <c r="A183" s="497" t="s">
        <v>524</v>
      </c>
      <c r="B183" s="499" t="s">
        <v>303</v>
      </c>
      <c r="C183" s="466"/>
      <c r="D183" s="473"/>
      <c r="E183" s="470"/>
      <c r="F183" s="470"/>
      <c r="G183" s="504"/>
      <c r="H183" s="477"/>
      <c r="I183" s="463"/>
      <c r="J183" s="463"/>
      <c r="K183" s="471"/>
      <c r="L183" s="353"/>
      <c r="M183" s="473"/>
      <c r="N183" s="470"/>
      <c r="O183" s="470"/>
      <c r="P183" s="471"/>
      <c r="Q183" s="50"/>
      <c r="R183" s="476"/>
      <c r="S183" s="475"/>
      <c r="T183" s="470"/>
      <c r="U183" s="474"/>
    </row>
    <row r="184" spans="1:21" ht="25.5" hidden="1" customHeight="1">
      <c r="A184" s="497" t="s">
        <v>525</v>
      </c>
      <c r="B184" s="499" t="s">
        <v>236</v>
      </c>
      <c r="C184" s="466"/>
      <c r="D184" s="473"/>
      <c r="E184" s="470"/>
      <c r="F184" s="470"/>
      <c r="G184" s="504"/>
      <c r="H184" s="477"/>
      <c r="I184" s="463"/>
      <c r="J184" s="463"/>
      <c r="K184" s="471"/>
      <c r="L184" s="353"/>
      <c r="M184" s="473"/>
      <c r="N184" s="470"/>
      <c r="O184" s="470"/>
      <c r="P184" s="471"/>
      <c r="Q184" s="50"/>
      <c r="R184" s="476"/>
      <c r="S184" s="475"/>
      <c r="T184" s="470"/>
      <c r="U184" s="474"/>
    </row>
    <row r="185" spans="1:21" ht="22.5" hidden="1" customHeight="1">
      <c r="A185" s="497" t="s">
        <v>526</v>
      </c>
      <c r="B185" s="499" t="s">
        <v>310</v>
      </c>
      <c r="C185" s="466"/>
      <c r="D185" s="473"/>
      <c r="E185" s="470"/>
      <c r="F185" s="470"/>
      <c r="G185" s="504"/>
      <c r="H185" s="477"/>
      <c r="I185" s="463"/>
      <c r="J185" s="463"/>
      <c r="K185" s="471"/>
      <c r="L185" s="353"/>
      <c r="M185" s="473"/>
      <c r="N185" s="470"/>
      <c r="O185" s="470"/>
      <c r="P185" s="471"/>
      <c r="Q185" s="50"/>
      <c r="R185" s="476"/>
      <c r="S185" s="475"/>
      <c r="T185" s="470"/>
      <c r="U185" s="474"/>
    </row>
    <row r="186" spans="1:21" ht="26.25" hidden="1" customHeight="1">
      <c r="A186" s="497" t="s">
        <v>527</v>
      </c>
      <c r="B186" s="499" t="s">
        <v>304</v>
      </c>
      <c r="C186" s="466"/>
      <c r="D186" s="473"/>
      <c r="E186" s="470"/>
      <c r="F186" s="470"/>
      <c r="G186" s="504"/>
      <c r="H186" s="477"/>
      <c r="I186" s="463"/>
      <c r="J186" s="463"/>
      <c r="K186" s="471"/>
      <c r="L186" s="353"/>
      <c r="M186" s="473"/>
      <c r="N186" s="470"/>
      <c r="O186" s="470"/>
      <c r="P186" s="471"/>
      <c r="Q186" s="50"/>
      <c r="R186" s="476"/>
      <c r="S186" s="475"/>
      <c r="T186" s="470"/>
      <c r="U186" s="474"/>
    </row>
    <row r="187" spans="1:21" ht="29.25" hidden="1" customHeight="1" thickBot="1">
      <c r="A187" s="498" t="s">
        <v>528</v>
      </c>
      <c r="B187" s="500" t="s">
        <v>316</v>
      </c>
      <c r="C187" s="502"/>
      <c r="D187" s="550"/>
      <c r="E187" s="551"/>
      <c r="F187" s="551"/>
      <c r="G187" s="956"/>
      <c r="H187" s="443"/>
      <c r="I187" s="340"/>
      <c r="J187" s="340"/>
      <c r="K187" s="304"/>
      <c r="L187" s="506"/>
      <c r="M187" s="302"/>
      <c r="N187" s="303"/>
      <c r="O187" s="303"/>
      <c r="P187" s="304"/>
      <c r="Q187" s="507"/>
      <c r="R187" s="200"/>
      <c r="S187" s="196"/>
      <c r="T187" s="303"/>
      <c r="U187" s="305"/>
    </row>
    <row r="188" spans="1:21" ht="43.5" thickBot="1">
      <c r="A188" s="17" t="s">
        <v>147</v>
      </c>
      <c r="B188" s="22" t="s">
        <v>619</v>
      </c>
      <c r="C188" s="687"/>
      <c r="D188" s="215">
        <f>SUM(D190,D220,D223,D231,D226,D234)</f>
        <v>3329371</v>
      </c>
      <c r="E188" s="216">
        <f>SUM(E190,E220,E223,E231,E226,E234)</f>
        <v>3294519</v>
      </c>
      <c r="F188" s="216">
        <f>SUM(F190,F220,F223,F231,F226,F234)</f>
        <v>812736</v>
      </c>
      <c r="G188" s="217">
        <f>SUM(G190,G220,G223,G231,G226,G234)</f>
        <v>34852</v>
      </c>
      <c r="H188" s="768">
        <f>SUM(H190,H268,H220:H220,H221)</f>
        <v>0</v>
      </c>
      <c r="I188" s="216">
        <f>SUM(I190,I268,I220:I220,I221)</f>
        <v>0</v>
      </c>
      <c r="J188" s="216">
        <f>SUM(J190,J268,J220:J220,J221)</f>
        <v>0</v>
      </c>
      <c r="K188" s="217">
        <f>SUM(K190,K268,K220,K221)</f>
        <v>0</v>
      </c>
      <c r="L188" s="688"/>
      <c r="M188" s="215">
        <f>SUM(M190,M221,M231,M220,M226)</f>
        <v>2751000</v>
      </c>
      <c r="N188" s="216">
        <f>SUM(N190,N221,N231,N220,N226)</f>
        <v>2751000</v>
      </c>
      <c r="O188" s="216">
        <f>SUM(O190,O221,O231,O220,O226)</f>
        <v>1393599</v>
      </c>
      <c r="P188" s="217">
        <f>SUM(P190,P221,P231,P220,P226)</f>
        <v>0</v>
      </c>
      <c r="Q188" s="689"/>
      <c r="R188" s="215">
        <f>SUM(R190,R268,R220:R220,R221,R231,R226)</f>
        <v>985800</v>
      </c>
      <c r="S188" s="216">
        <f>SUM(S190,S268,S220:S220,S221,S231,S226)</f>
        <v>985800</v>
      </c>
      <c r="T188" s="216">
        <f>SUM(T190,T268,T220:T220,T221,T231,T226)</f>
        <v>788000</v>
      </c>
      <c r="U188" s="217">
        <f>SUM(U190,U268,U220:U220,U221,U231,U226)</f>
        <v>0</v>
      </c>
    </row>
    <row r="189" spans="1:21">
      <c r="A189" s="382"/>
      <c r="B189" s="686" t="s">
        <v>373</v>
      </c>
      <c r="C189" s="67"/>
      <c r="D189" s="870"/>
      <c r="E189" s="862"/>
      <c r="F189" s="862"/>
      <c r="G189" s="857"/>
      <c r="H189" s="493"/>
      <c r="I189" s="220"/>
      <c r="J189" s="220"/>
      <c r="K189" s="221"/>
      <c r="L189" s="690"/>
      <c r="M189" s="219"/>
      <c r="N189" s="220"/>
      <c r="O189" s="220"/>
      <c r="P189" s="221"/>
      <c r="Q189" s="701"/>
      <c r="R189" s="219"/>
      <c r="S189" s="220"/>
      <c r="T189" s="220"/>
      <c r="U189" s="221"/>
    </row>
    <row r="190" spans="1:21" ht="24">
      <c r="A190" s="480" t="s">
        <v>145</v>
      </c>
      <c r="B190" s="21" t="s">
        <v>459</v>
      </c>
      <c r="C190" s="466"/>
      <c r="D190" s="222">
        <f>SUM(D192:D216,)</f>
        <v>2290698</v>
      </c>
      <c r="E190" s="223">
        <f>SUM(E192:E216,)</f>
        <v>2290698</v>
      </c>
      <c r="F190" s="223">
        <f>SUM(F192:F215,F216,F212)</f>
        <v>0</v>
      </c>
      <c r="G190" s="224">
        <f>SUM(G192:G215,G216,G212)</f>
        <v>0</v>
      </c>
      <c r="H190" s="244">
        <f>SUM(H207:H211,H226,H216)</f>
        <v>0</v>
      </c>
      <c r="I190" s="223">
        <f>SUM(I207:I211,I226,I216)</f>
        <v>0</v>
      </c>
      <c r="J190" s="223">
        <f>SUM(J207:J211,J226,J216)</f>
        <v>0</v>
      </c>
      <c r="K190" s="224">
        <f>SUM(K207:K211,K226,K216)</f>
        <v>0</v>
      </c>
      <c r="L190" s="360"/>
      <c r="M190" s="222">
        <f>SUM(M192:M216,M219)</f>
        <v>1280800</v>
      </c>
      <c r="N190" s="223">
        <f>SUM(N192:N216,N219)</f>
        <v>1280800</v>
      </c>
      <c r="O190" s="223">
        <f>SUM(O207:O216)</f>
        <v>26404</v>
      </c>
      <c r="P190" s="224">
        <f>SUM(P207:P216)</f>
        <v>0</v>
      </c>
      <c r="Q190" s="700"/>
      <c r="R190" s="222">
        <f>SUM(R207:R218,R216)</f>
        <v>0</v>
      </c>
      <c r="S190" s="223">
        <f>SUM(S207:S218,S216)</f>
        <v>0</v>
      </c>
      <c r="T190" s="223">
        <f>SUM(T207:T218,T216)</f>
        <v>0</v>
      </c>
      <c r="U190" s="224">
        <f>SUM(U207:U218,U216)</f>
        <v>0</v>
      </c>
    </row>
    <row r="191" spans="1:21">
      <c r="A191" s="480"/>
      <c r="B191" s="1076" t="s">
        <v>144</v>
      </c>
      <c r="C191" s="1086"/>
      <c r="D191" s="386"/>
      <c r="E191" s="232"/>
      <c r="F191" s="659"/>
      <c r="G191" s="662"/>
      <c r="H191" s="245"/>
      <c r="I191" s="659"/>
      <c r="J191" s="659"/>
      <c r="K191" s="662"/>
      <c r="L191" s="691"/>
      <c r="M191" s="660"/>
      <c r="N191" s="659"/>
      <c r="O191" s="659"/>
      <c r="P191" s="662"/>
      <c r="Q191" s="391"/>
      <c r="R191" s="660"/>
      <c r="S191" s="659"/>
      <c r="T191" s="659"/>
      <c r="U191" s="662"/>
    </row>
    <row r="192" spans="1:21" ht="22.5">
      <c r="A192" s="480" t="s">
        <v>143</v>
      </c>
      <c r="B192" s="20" t="s">
        <v>181</v>
      </c>
      <c r="C192" s="1086" t="s">
        <v>355</v>
      </c>
      <c r="D192" s="386">
        <f>1125685-1700</f>
        <v>1123985</v>
      </c>
      <c r="E192" s="232">
        <f>+D192</f>
        <v>1123985</v>
      </c>
      <c r="F192" s="659"/>
      <c r="G192" s="662"/>
      <c r="H192" s="245"/>
      <c r="I192" s="659"/>
      <c r="J192" s="659"/>
      <c r="K192" s="662"/>
      <c r="L192" s="361"/>
      <c r="M192" s="660"/>
      <c r="N192" s="659"/>
      <c r="O192" s="659"/>
      <c r="P192" s="662"/>
      <c r="Q192" s="69"/>
      <c r="R192" s="660"/>
      <c r="S192" s="659"/>
      <c r="T192" s="659"/>
      <c r="U192" s="662"/>
    </row>
    <row r="193" spans="1:21" ht="18" customHeight="1">
      <c r="A193" s="480" t="s">
        <v>214</v>
      </c>
      <c r="B193" s="20" t="s">
        <v>182</v>
      </c>
      <c r="C193" s="466" t="s">
        <v>355</v>
      </c>
      <c r="D193" s="386">
        <v>1700</v>
      </c>
      <c r="E193" s="659">
        <v>1700</v>
      </c>
      <c r="F193" s="659"/>
      <c r="G193" s="662"/>
      <c r="H193" s="245"/>
      <c r="I193" s="659"/>
      <c r="J193" s="659"/>
      <c r="K193" s="662"/>
      <c r="L193" s="361"/>
      <c r="M193" s="660"/>
      <c r="N193" s="659"/>
      <c r="O193" s="659"/>
      <c r="P193" s="662"/>
      <c r="Q193" s="69"/>
      <c r="R193" s="660"/>
      <c r="S193" s="659"/>
      <c r="T193" s="659"/>
      <c r="U193" s="662"/>
    </row>
    <row r="194" spans="1:21" ht="27.75" customHeight="1">
      <c r="A194" s="480" t="s">
        <v>142</v>
      </c>
      <c r="B194" s="20" t="s">
        <v>620</v>
      </c>
      <c r="C194" s="1086" t="s">
        <v>355</v>
      </c>
      <c r="D194" s="386">
        <v>250000</v>
      </c>
      <c r="E194" s="232">
        <f>+D194</f>
        <v>250000</v>
      </c>
      <c r="F194" s="659"/>
      <c r="G194" s="662"/>
      <c r="H194" s="245"/>
      <c r="I194" s="659"/>
      <c r="J194" s="659"/>
      <c r="K194" s="662"/>
      <c r="L194" s="361"/>
      <c r="M194" s="660"/>
      <c r="N194" s="659"/>
      <c r="O194" s="659"/>
      <c r="P194" s="662"/>
      <c r="Q194" s="69"/>
      <c r="R194" s="660"/>
      <c r="S194" s="659"/>
      <c r="T194" s="659"/>
      <c r="U194" s="662"/>
    </row>
    <row r="195" spans="1:21" ht="45" customHeight="1">
      <c r="A195" s="1089" t="s">
        <v>140</v>
      </c>
      <c r="B195" s="20" t="s">
        <v>621</v>
      </c>
      <c r="C195" s="466" t="s">
        <v>355</v>
      </c>
      <c r="D195" s="660">
        <v>120000</v>
      </c>
      <c r="E195" s="659">
        <f>+D195</f>
        <v>120000</v>
      </c>
      <c r="F195" s="659"/>
      <c r="G195" s="662"/>
      <c r="H195" s="245"/>
      <c r="I195" s="659"/>
      <c r="J195" s="659"/>
      <c r="K195" s="662"/>
      <c r="L195" s="361"/>
      <c r="M195" s="660"/>
      <c r="N195" s="659"/>
      <c r="O195" s="659"/>
      <c r="P195" s="662"/>
      <c r="Q195" s="69"/>
      <c r="R195" s="660"/>
      <c r="S195" s="659"/>
      <c r="T195" s="659"/>
      <c r="U195" s="662"/>
    </row>
    <row r="196" spans="1:21" ht="18.75" customHeight="1">
      <c r="A196" s="1089" t="s">
        <v>138</v>
      </c>
      <c r="B196" s="142" t="s">
        <v>240</v>
      </c>
      <c r="C196" s="401">
        <v>10</v>
      </c>
      <c r="D196" s="660"/>
      <c r="E196" s="659"/>
      <c r="F196" s="659"/>
      <c r="G196" s="662"/>
      <c r="H196" s="245"/>
      <c r="I196" s="659"/>
      <c r="J196" s="659"/>
      <c r="K196" s="662"/>
      <c r="L196" s="692" t="s">
        <v>483</v>
      </c>
      <c r="M196" s="174">
        <v>191100</v>
      </c>
      <c r="N196" s="175">
        <f>+M196</f>
        <v>191100</v>
      </c>
      <c r="O196" s="175"/>
      <c r="P196" s="711"/>
      <c r="Q196" s="702"/>
      <c r="R196" s="660"/>
      <c r="S196" s="659"/>
      <c r="T196" s="659"/>
      <c r="U196" s="662"/>
    </row>
    <row r="197" spans="1:21" ht="22.5">
      <c r="A197" s="1089" t="s">
        <v>136</v>
      </c>
      <c r="B197" s="20" t="s">
        <v>591</v>
      </c>
      <c r="C197" s="466" t="s">
        <v>355</v>
      </c>
      <c r="D197" s="660">
        <v>55000</v>
      </c>
      <c r="E197" s="659">
        <f>+D197</f>
        <v>55000</v>
      </c>
      <c r="F197" s="659"/>
      <c r="G197" s="662"/>
      <c r="H197" s="245"/>
      <c r="I197" s="659"/>
      <c r="J197" s="659"/>
      <c r="K197" s="662"/>
      <c r="L197" s="361"/>
      <c r="M197" s="660"/>
      <c r="N197" s="659"/>
      <c r="O197" s="659"/>
      <c r="P197" s="662"/>
      <c r="Q197" s="69"/>
      <c r="R197" s="660"/>
      <c r="S197" s="659"/>
      <c r="T197" s="659"/>
      <c r="U197" s="662"/>
    </row>
    <row r="198" spans="1:21" ht="18.75" customHeight="1">
      <c r="A198" s="1089" t="s">
        <v>135</v>
      </c>
      <c r="B198" s="383" t="s">
        <v>141</v>
      </c>
      <c r="C198" s="466" t="s">
        <v>355</v>
      </c>
      <c r="D198" s="660">
        <v>3500</v>
      </c>
      <c r="E198" s="659">
        <f>+D198</f>
        <v>3500</v>
      </c>
      <c r="F198" s="659"/>
      <c r="G198" s="662"/>
      <c r="H198" s="245"/>
      <c r="I198" s="659"/>
      <c r="J198" s="659"/>
      <c r="K198" s="662"/>
      <c r="L198" s="693"/>
      <c r="M198" s="660"/>
      <c r="N198" s="659"/>
      <c r="O198" s="659"/>
      <c r="P198" s="662"/>
      <c r="Q198" s="703"/>
      <c r="R198" s="660"/>
      <c r="S198" s="659"/>
      <c r="T198" s="659"/>
      <c r="U198" s="662"/>
    </row>
    <row r="199" spans="1:21" ht="29.25" customHeight="1">
      <c r="A199" s="1089" t="s">
        <v>134</v>
      </c>
      <c r="B199" s="20" t="s">
        <v>622</v>
      </c>
      <c r="C199" s="402">
        <v>10</v>
      </c>
      <c r="D199" s="660"/>
      <c r="E199" s="659"/>
      <c r="F199" s="659"/>
      <c r="G199" s="662"/>
      <c r="H199" s="245"/>
      <c r="I199" s="659"/>
      <c r="J199" s="659"/>
      <c r="K199" s="662"/>
      <c r="L199" s="693" t="s">
        <v>483</v>
      </c>
      <c r="M199" s="174">
        <v>81000</v>
      </c>
      <c r="N199" s="175">
        <v>81000</v>
      </c>
      <c r="O199" s="175"/>
      <c r="P199" s="712"/>
      <c r="Q199" s="703"/>
      <c r="R199" s="660"/>
      <c r="S199" s="659"/>
      <c r="T199" s="659"/>
      <c r="U199" s="662"/>
    </row>
    <row r="200" spans="1:21" ht="19.5" customHeight="1">
      <c r="A200" s="1089" t="s">
        <v>133</v>
      </c>
      <c r="B200" s="383" t="s">
        <v>233</v>
      </c>
      <c r="C200" s="402">
        <v>10</v>
      </c>
      <c r="D200" s="660"/>
      <c r="E200" s="659"/>
      <c r="F200" s="659"/>
      <c r="G200" s="662"/>
      <c r="H200" s="245"/>
      <c r="I200" s="659"/>
      <c r="J200" s="659"/>
      <c r="K200" s="662"/>
      <c r="L200" s="693" t="s">
        <v>483</v>
      </c>
      <c r="M200" s="174">
        <v>300</v>
      </c>
      <c r="N200" s="175">
        <v>300</v>
      </c>
      <c r="O200" s="175"/>
      <c r="P200" s="712"/>
      <c r="Q200" s="703"/>
      <c r="R200" s="660"/>
      <c r="S200" s="659"/>
      <c r="T200" s="659"/>
      <c r="U200" s="662"/>
    </row>
    <row r="201" spans="1:21" ht="23.25" customHeight="1">
      <c r="A201" s="1089" t="s">
        <v>132</v>
      </c>
      <c r="B201" s="141" t="s">
        <v>241</v>
      </c>
      <c r="C201" s="402">
        <v>10</v>
      </c>
      <c r="D201" s="660"/>
      <c r="E201" s="659"/>
      <c r="F201" s="659"/>
      <c r="G201" s="662"/>
      <c r="H201" s="245"/>
      <c r="I201" s="659"/>
      <c r="J201" s="659"/>
      <c r="K201" s="662"/>
      <c r="L201" s="693" t="s">
        <v>483</v>
      </c>
      <c r="M201" s="174">
        <v>418200</v>
      </c>
      <c r="N201" s="175">
        <f>+M201</f>
        <v>418200</v>
      </c>
      <c r="O201" s="175"/>
      <c r="P201" s="712"/>
      <c r="Q201" s="703"/>
      <c r="R201" s="660"/>
      <c r="S201" s="659"/>
      <c r="T201" s="659"/>
      <c r="U201" s="662"/>
    </row>
    <row r="202" spans="1:21" ht="27" customHeight="1">
      <c r="A202" s="1089" t="s">
        <v>178</v>
      </c>
      <c r="B202" s="141" t="s">
        <v>623</v>
      </c>
      <c r="C202" s="401">
        <v>10</v>
      </c>
      <c r="D202" s="660">
        <v>11000</v>
      </c>
      <c r="E202" s="659">
        <f>+D202</f>
        <v>11000</v>
      </c>
      <c r="F202" s="659"/>
      <c r="G202" s="662"/>
      <c r="H202" s="245"/>
      <c r="I202" s="659"/>
      <c r="J202" s="659"/>
      <c r="K202" s="662"/>
      <c r="L202" s="361"/>
      <c r="M202" s="660"/>
      <c r="N202" s="659"/>
      <c r="O202" s="659"/>
      <c r="P202" s="662"/>
      <c r="Q202" s="69"/>
      <c r="R202" s="660"/>
      <c r="S202" s="659"/>
      <c r="T202" s="659"/>
      <c r="U202" s="662"/>
    </row>
    <row r="203" spans="1:21" ht="27.75" customHeight="1">
      <c r="A203" s="1089" t="s">
        <v>183</v>
      </c>
      <c r="B203" s="20" t="s">
        <v>624</v>
      </c>
      <c r="C203" s="466" t="s">
        <v>355</v>
      </c>
      <c r="D203" s="660">
        <v>70000</v>
      </c>
      <c r="E203" s="659">
        <f>+D203</f>
        <v>70000</v>
      </c>
      <c r="F203" s="659"/>
      <c r="G203" s="662"/>
      <c r="H203" s="245"/>
      <c r="I203" s="659"/>
      <c r="J203" s="659"/>
      <c r="K203" s="662"/>
      <c r="L203" s="361"/>
      <c r="M203" s="660"/>
      <c r="N203" s="659"/>
      <c r="O203" s="659"/>
      <c r="P203" s="662"/>
      <c r="Q203" s="69"/>
      <c r="R203" s="660"/>
      <c r="S203" s="659"/>
      <c r="T203" s="659"/>
      <c r="U203" s="662"/>
    </row>
    <row r="204" spans="1:21" ht="24" customHeight="1">
      <c r="A204" s="1089" t="s">
        <v>184</v>
      </c>
      <c r="B204" s="141" t="s">
        <v>321</v>
      </c>
      <c r="C204" s="401">
        <v>10</v>
      </c>
      <c r="D204" s="660"/>
      <c r="E204" s="659"/>
      <c r="F204" s="659"/>
      <c r="G204" s="662"/>
      <c r="H204" s="245"/>
      <c r="I204" s="659"/>
      <c r="J204" s="659"/>
      <c r="K204" s="662"/>
      <c r="L204" s="693" t="s">
        <v>483</v>
      </c>
      <c r="M204" s="174">
        <v>6000</v>
      </c>
      <c r="N204" s="175">
        <f>+M204</f>
        <v>6000</v>
      </c>
      <c r="O204" s="175"/>
      <c r="P204" s="711"/>
      <c r="Q204" s="703"/>
      <c r="R204" s="660"/>
      <c r="S204" s="659"/>
      <c r="T204" s="659"/>
      <c r="U204" s="662"/>
    </row>
    <row r="205" spans="1:21" ht="48.75" customHeight="1">
      <c r="A205" s="1089" t="s">
        <v>326</v>
      </c>
      <c r="B205" s="141" t="s">
        <v>331</v>
      </c>
      <c r="C205" s="401">
        <v>10</v>
      </c>
      <c r="D205" s="660">
        <v>60000</v>
      </c>
      <c r="E205" s="659">
        <f t="shared" ref="E205:E211" si="17">+D205</f>
        <v>60000</v>
      </c>
      <c r="F205" s="659"/>
      <c r="G205" s="662"/>
      <c r="H205" s="245"/>
      <c r="I205" s="659"/>
      <c r="J205" s="659"/>
      <c r="K205" s="662"/>
      <c r="L205" s="692"/>
      <c r="M205" s="174"/>
      <c r="N205" s="175"/>
      <c r="O205" s="175"/>
      <c r="P205" s="711"/>
      <c r="Q205" s="702"/>
      <c r="R205" s="660"/>
      <c r="S205" s="659"/>
      <c r="T205" s="659"/>
      <c r="U205" s="662"/>
    </row>
    <row r="206" spans="1:21" ht="27.75" customHeight="1">
      <c r="A206" s="1089" t="s">
        <v>185</v>
      </c>
      <c r="B206" s="141" t="s">
        <v>555</v>
      </c>
      <c r="C206" s="401">
        <v>10</v>
      </c>
      <c r="D206" s="660">
        <v>225000</v>
      </c>
      <c r="E206" s="659">
        <f t="shared" si="17"/>
        <v>225000</v>
      </c>
      <c r="F206" s="659"/>
      <c r="G206" s="662"/>
      <c r="H206" s="245"/>
      <c r="I206" s="659"/>
      <c r="J206" s="659"/>
      <c r="K206" s="662"/>
      <c r="L206" s="692"/>
      <c r="M206" s="174"/>
      <c r="N206" s="175"/>
      <c r="O206" s="171"/>
      <c r="P206" s="711"/>
      <c r="Q206" s="702"/>
      <c r="R206" s="660"/>
      <c r="S206" s="659"/>
      <c r="T206" s="659"/>
      <c r="U206" s="662"/>
    </row>
    <row r="207" spans="1:21" ht="25.5" customHeight="1">
      <c r="A207" s="1089" t="s">
        <v>186</v>
      </c>
      <c r="B207" s="20" t="s">
        <v>556</v>
      </c>
      <c r="C207" s="1086" t="s">
        <v>355</v>
      </c>
      <c r="D207" s="87">
        <v>45000</v>
      </c>
      <c r="E207" s="1087">
        <f t="shared" si="17"/>
        <v>45000</v>
      </c>
      <c r="F207" s="799"/>
      <c r="G207" s="800"/>
      <c r="H207" s="801"/>
      <c r="I207" s="799"/>
      <c r="J207" s="799"/>
      <c r="K207" s="800"/>
      <c r="L207" s="361" t="s">
        <v>483</v>
      </c>
      <c r="M207" s="87">
        <v>160000</v>
      </c>
      <c r="N207" s="1023">
        <f>+M207</f>
        <v>160000</v>
      </c>
      <c r="O207" s="799"/>
      <c r="P207" s="800"/>
      <c r="Q207" s="802"/>
      <c r="R207" s="798"/>
      <c r="S207" s="799"/>
      <c r="T207" s="799"/>
      <c r="U207" s="800"/>
    </row>
    <row r="208" spans="1:21" ht="22.5" customHeight="1">
      <c r="A208" s="1089" t="s">
        <v>327</v>
      </c>
      <c r="B208" s="20" t="s">
        <v>137</v>
      </c>
      <c r="C208" s="466" t="s">
        <v>355</v>
      </c>
      <c r="D208" s="660">
        <v>60000</v>
      </c>
      <c r="E208" s="659">
        <f t="shared" si="17"/>
        <v>60000</v>
      </c>
      <c r="F208" s="659"/>
      <c r="G208" s="662"/>
      <c r="H208" s="245"/>
      <c r="I208" s="659"/>
      <c r="J208" s="659"/>
      <c r="K208" s="662"/>
      <c r="L208" s="361" t="s">
        <v>483</v>
      </c>
      <c r="M208" s="660">
        <f>168000+7000</f>
        <v>175000</v>
      </c>
      <c r="N208" s="659">
        <f>+M208</f>
        <v>175000</v>
      </c>
      <c r="O208" s="659">
        <v>6900</v>
      </c>
      <c r="P208" s="662"/>
      <c r="Q208" s="69"/>
      <c r="R208" s="660"/>
      <c r="S208" s="659"/>
      <c r="T208" s="659"/>
      <c r="U208" s="662"/>
    </row>
    <row r="209" spans="1:21" ht="22.5">
      <c r="A209" s="1089" t="s">
        <v>328</v>
      </c>
      <c r="B209" s="20" t="s">
        <v>139</v>
      </c>
      <c r="C209" s="466" t="s">
        <v>91</v>
      </c>
      <c r="D209" s="660">
        <v>16000</v>
      </c>
      <c r="E209" s="659">
        <f t="shared" si="17"/>
        <v>16000</v>
      </c>
      <c r="F209" s="659"/>
      <c r="G209" s="662"/>
      <c r="H209" s="245"/>
      <c r="I209" s="659"/>
      <c r="J209" s="659"/>
      <c r="K209" s="662"/>
      <c r="L209" s="361"/>
      <c r="M209" s="660"/>
      <c r="N209" s="659"/>
      <c r="O209" s="659"/>
      <c r="P209" s="662"/>
      <c r="Q209" s="69"/>
      <c r="R209" s="660"/>
      <c r="S209" s="659"/>
      <c r="T209" s="659"/>
      <c r="U209" s="662"/>
    </row>
    <row r="210" spans="1:21" ht="22.5">
      <c r="A210" s="1089" t="s">
        <v>329</v>
      </c>
      <c r="B210" s="20" t="s">
        <v>177</v>
      </c>
      <c r="C210" s="466" t="s">
        <v>355</v>
      </c>
      <c r="D210" s="386">
        <v>12000</v>
      </c>
      <c r="E210" s="659">
        <f t="shared" si="17"/>
        <v>12000</v>
      </c>
      <c r="F210" s="659"/>
      <c r="G210" s="662"/>
      <c r="H210" s="245"/>
      <c r="I210" s="659"/>
      <c r="J210" s="659"/>
      <c r="K210" s="662"/>
      <c r="L210" s="361"/>
      <c r="M210" s="660"/>
      <c r="N210" s="659"/>
      <c r="O210" s="659"/>
      <c r="P210" s="662"/>
      <c r="Q210" s="69"/>
      <c r="R210" s="660"/>
      <c r="S210" s="659"/>
      <c r="T210" s="659"/>
      <c r="U210" s="662"/>
    </row>
    <row r="211" spans="1:21" ht="25.5" customHeight="1">
      <c r="A211" s="1089" t="s">
        <v>266</v>
      </c>
      <c r="B211" s="141" t="s">
        <v>378</v>
      </c>
      <c r="C211" s="401">
        <v>10</v>
      </c>
      <c r="D211" s="660">
        <v>20000</v>
      </c>
      <c r="E211" s="659">
        <f t="shared" si="17"/>
        <v>20000</v>
      </c>
      <c r="F211" s="659"/>
      <c r="G211" s="662"/>
      <c r="H211" s="245"/>
      <c r="I211" s="659"/>
      <c r="J211" s="659"/>
      <c r="K211" s="662"/>
      <c r="L211" s="361"/>
      <c r="M211" s="660"/>
      <c r="N211" s="659"/>
      <c r="O211" s="659"/>
      <c r="P211" s="662"/>
      <c r="Q211" s="69"/>
      <c r="R211" s="660"/>
      <c r="S211" s="659"/>
      <c r="T211" s="659"/>
      <c r="U211" s="662"/>
    </row>
    <row r="212" spans="1:21" ht="24" customHeight="1">
      <c r="A212" s="997" t="s">
        <v>267</v>
      </c>
      <c r="B212" s="141" t="s">
        <v>541</v>
      </c>
      <c r="C212" s="401">
        <v>10</v>
      </c>
      <c r="D212" s="660">
        <v>79400</v>
      </c>
      <c r="E212" s="659">
        <f>+D212</f>
        <v>79400</v>
      </c>
      <c r="F212" s="659"/>
      <c r="G212" s="662"/>
      <c r="H212" s="245"/>
      <c r="I212" s="659"/>
      <c r="J212" s="659"/>
      <c r="K212" s="662"/>
      <c r="L212" s="692"/>
      <c r="M212" s="174"/>
      <c r="N212" s="175"/>
      <c r="O212" s="175"/>
      <c r="P212" s="711"/>
      <c r="Q212" s="702"/>
      <c r="R212" s="660"/>
      <c r="S212" s="659"/>
      <c r="T212" s="659"/>
      <c r="U212" s="662"/>
    </row>
    <row r="213" spans="1:21" ht="25.5" customHeight="1">
      <c r="A213" s="821" t="s">
        <v>702</v>
      </c>
      <c r="B213" s="20" t="s">
        <v>625</v>
      </c>
      <c r="C213" s="402"/>
      <c r="D213" s="386">
        <v>2000</v>
      </c>
      <c r="E213" s="232">
        <f>+D213</f>
        <v>2000</v>
      </c>
      <c r="F213" s="232"/>
      <c r="G213" s="235"/>
      <c r="H213" s="871"/>
      <c r="I213" s="232"/>
      <c r="J213" s="232"/>
      <c r="K213" s="235"/>
      <c r="L213" s="693" t="s">
        <v>483</v>
      </c>
      <c r="M213" s="170">
        <v>102200</v>
      </c>
      <c r="N213" s="171">
        <f>+M213</f>
        <v>102200</v>
      </c>
      <c r="O213" s="171">
        <v>3844</v>
      </c>
      <c r="P213" s="872"/>
      <c r="Q213" s="703"/>
      <c r="R213" s="386"/>
      <c r="S213" s="232"/>
      <c r="T213" s="784"/>
      <c r="U213" s="785"/>
    </row>
    <row r="214" spans="1:21" ht="40.5" customHeight="1">
      <c r="A214" s="821" t="s">
        <v>703</v>
      </c>
      <c r="B214" s="20" t="s">
        <v>626</v>
      </c>
      <c r="C214" s="402"/>
      <c r="D214" s="386"/>
      <c r="E214" s="232"/>
      <c r="F214" s="232"/>
      <c r="G214" s="235"/>
      <c r="H214" s="871"/>
      <c r="I214" s="232"/>
      <c r="J214" s="232"/>
      <c r="K214" s="235"/>
      <c r="L214" s="693" t="s">
        <v>483</v>
      </c>
      <c r="M214" s="170">
        <v>87000</v>
      </c>
      <c r="N214" s="171">
        <f>+M214</f>
        <v>87000</v>
      </c>
      <c r="O214" s="171">
        <v>15660</v>
      </c>
      <c r="P214" s="872"/>
      <c r="Q214" s="703"/>
      <c r="R214" s="386"/>
      <c r="S214" s="232"/>
      <c r="T214" s="784"/>
      <c r="U214" s="785"/>
    </row>
    <row r="215" spans="1:21" ht="29.25" customHeight="1">
      <c r="A215" s="1089" t="s">
        <v>575</v>
      </c>
      <c r="B215" s="141" t="s">
        <v>398</v>
      </c>
      <c r="C215" s="466" t="s">
        <v>94</v>
      </c>
      <c r="D215" s="660">
        <v>113</v>
      </c>
      <c r="E215" s="659">
        <f>+D215</f>
        <v>113</v>
      </c>
      <c r="F215" s="659"/>
      <c r="G215" s="662"/>
      <c r="H215" s="245"/>
      <c r="I215" s="659"/>
      <c r="J215" s="659"/>
      <c r="K215" s="662"/>
      <c r="L215" s="692"/>
      <c r="M215" s="174"/>
      <c r="N215" s="175"/>
      <c r="O215" s="175"/>
      <c r="P215" s="711"/>
      <c r="Q215" s="702"/>
      <c r="R215" s="660"/>
      <c r="S215" s="659"/>
      <c r="T215" s="659"/>
      <c r="U215" s="662"/>
    </row>
    <row r="216" spans="1:21" ht="36.75" customHeight="1">
      <c r="A216" s="1085" t="s">
        <v>704</v>
      </c>
      <c r="B216" s="633" t="s">
        <v>549</v>
      </c>
      <c r="C216" s="403">
        <v>10</v>
      </c>
      <c r="D216" s="83">
        <f>SUM(D217:D218)</f>
        <v>136000</v>
      </c>
      <c r="E216" s="82">
        <f>SUM(E217:E218)</f>
        <v>136000</v>
      </c>
      <c r="F216" s="82">
        <f>SUM(F217:F218)</f>
        <v>0</v>
      </c>
      <c r="G216" s="84">
        <f>SUM(G217:G218)</f>
        <v>0</v>
      </c>
      <c r="H216" s="494"/>
      <c r="I216" s="82"/>
      <c r="J216" s="82"/>
      <c r="K216" s="84"/>
      <c r="L216" s="694"/>
      <c r="M216" s="229">
        <f>+M217</f>
        <v>60000</v>
      </c>
      <c r="N216" s="230">
        <f>+N217</f>
        <v>60000</v>
      </c>
      <c r="O216" s="230">
        <f>+O217</f>
        <v>0</v>
      </c>
      <c r="P216" s="713">
        <f>+P217</f>
        <v>0</v>
      </c>
      <c r="Q216" s="704"/>
      <c r="R216" s="660"/>
      <c r="S216" s="659"/>
      <c r="T216" s="659"/>
      <c r="U216" s="662"/>
    </row>
    <row r="217" spans="1:21" ht="27" customHeight="1">
      <c r="A217" s="39" t="s">
        <v>734</v>
      </c>
      <c r="B217" s="141" t="s">
        <v>628</v>
      </c>
      <c r="C217" s="401">
        <v>10</v>
      </c>
      <c r="D217" s="660"/>
      <c r="E217" s="659"/>
      <c r="F217" s="659"/>
      <c r="G217" s="662"/>
      <c r="H217" s="245"/>
      <c r="I217" s="659"/>
      <c r="J217" s="659"/>
      <c r="K217" s="662"/>
      <c r="L217" s="692" t="s">
        <v>483</v>
      </c>
      <c r="M217" s="174">
        <v>60000</v>
      </c>
      <c r="N217" s="175">
        <f>+M217</f>
        <v>60000</v>
      </c>
      <c r="O217" s="175"/>
      <c r="P217" s="711"/>
      <c r="Q217" s="702"/>
      <c r="R217" s="660"/>
      <c r="S217" s="659"/>
      <c r="T217" s="659"/>
      <c r="U217" s="662"/>
    </row>
    <row r="218" spans="1:21" ht="28.5" customHeight="1" thickBot="1">
      <c r="A218" s="39" t="s">
        <v>735</v>
      </c>
      <c r="B218" s="141" t="s">
        <v>627</v>
      </c>
      <c r="C218" s="401">
        <v>10</v>
      </c>
      <c r="D218" s="660">
        <f>126000+10000</f>
        <v>136000</v>
      </c>
      <c r="E218" s="659">
        <f>+D218</f>
        <v>136000</v>
      </c>
      <c r="F218" s="659"/>
      <c r="G218" s="662"/>
      <c r="H218" s="245"/>
      <c r="I218" s="659"/>
      <c r="J218" s="659"/>
      <c r="K218" s="662"/>
      <c r="L218" s="692"/>
      <c r="M218" s="174"/>
      <c r="N218" s="175"/>
      <c r="O218" s="175"/>
      <c r="P218" s="711"/>
      <c r="Q218" s="702"/>
      <c r="R218" s="660"/>
      <c r="S218" s="659"/>
      <c r="T218" s="659"/>
      <c r="U218" s="662"/>
    </row>
    <row r="219" spans="1:21" ht="38.25" hidden="1" customHeight="1">
      <c r="A219" s="18" t="s">
        <v>540</v>
      </c>
      <c r="B219" s="1227" t="s">
        <v>422</v>
      </c>
      <c r="C219" s="1228">
        <v>10</v>
      </c>
      <c r="D219" s="1006"/>
      <c r="E219" s="1111"/>
      <c r="F219" s="1111"/>
      <c r="G219" s="1114"/>
      <c r="H219" s="1115"/>
      <c r="I219" s="1111"/>
      <c r="J219" s="1111"/>
      <c r="K219" s="1114"/>
      <c r="L219" s="1229" t="s">
        <v>482</v>
      </c>
      <c r="M219" s="489"/>
      <c r="N219" s="211"/>
      <c r="O219" s="211"/>
      <c r="P219" s="1060"/>
      <c r="Q219" s="1230"/>
      <c r="R219" s="1006"/>
      <c r="S219" s="1111"/>
      <c r="T219" s="1111"/>
      <c r="U219" s="1114"/>
    </row>
    <row r="220" spans="1:21" ht="18" customHeight="1" thickBot="1">
      <c r="A220" s="1231" t="s">
        <v>131</v>
      </c>
      <c r="B220" s="1232" t="s">
        <v>464</v>
      </c>
      <c r="C220" s="1233" t="s">
        <v>355</v>
      </c>
      <c r="D220" s="1234">
        <f>350000+5818</f>
        <v>355818</v>
      </c>
      <c r="E220" s="1235">
        <f>D220-G220</f>
        <v>352818</v>
      </c>
      <c r="F220" s="1236">
        <f>323700+296</f>
        <v>323996</v>
      </c>
      <c r="G220" s="1237">
        <v>3000</v>
      </c>
      <c r="H220" s="1238"/>
      <c r="I220" s="1239"/>
      <c r="J220" s="1239"/>
      <c r="K220" s="1237"/>
      <c r="L220" s="1240"/>
      <c r="M220" s="1241"/>
      <c r="N220" s="1239"/>
      <c r="O220" s="1239"/>
      <c r="P220" s="1237"/>
      <c r="Q220" s="1242"/>
      <c r="R220" s="1241"/>
      <c r="S220" s="1239"/>
      <c r="T220" s="1239"/>
      <c r="U220" s="1237"/>
    </row>
    <row r="221" spans="1:21" ht="24">
      <c r="A221" s="382" t="s">
        <v>212</v>
      </c>
      <c r="B221" s="46" t="s">
        <v>222</v>
      </c>
      <c r="C221" s="427" t="s">
        <v>83</v>
      </c>
      <c r="D221" s="1036">
        <f t="shared" ref="D221:J221" si="18">SUM(D223)</f>
        <v>173952</v>
      </c>
      <c r="E221" s="1037">
        <f t="shared" si="18"/>
        <v>173952</v>
      </c>
      <c r="F221" s="1037">
        <f t="shared" si="18"/>
        <v>103952</v>
      </c>
      <c r="G221" s="881">
        <f t="shared" si="18"/>
        <v>0</v>
      </c>
      <c r="H221" s="915">
        <f t="shared" si="18"/>
        <v>0</v>
      </c>
      <c r="I221" s="898">
        <f t="shared" si="18"/>
        <v>0</v>
      </c>
      <c r="J221" s="898">
        <f t="shared" si="18"/>
        <v>0</v>
      </c>
      <c r="K221" s="881"/>
      <c r="L221" s="1038"/>
      <c r="M221" s="897">
        <f>SUM(M223:M225)</f>
        <v>445400</v>
      </c>
      <c r="N221" s="898">
        <f>SUM(N223:N225)</f>
        <v>445400</v>
      </c>
      <c r="O221" s="898">
        <f>SUM(O223:O225)</f>
        <v>390000</v>
      </c>
      <c r="P221" s="881">
        <f>SUM(P223:P225)</f>
        <v>0</v>
      </c>
      <c r="Q221" s="1039"/>
      <c r="R221" s="897">
        <f>SUM(R223:R224)</f>
        <v>860800</v>
      </c>
      <c r="S221" s="898">
        <f>SUM(S223:S224)</f>
        <v>860800</v>
      </c>
      <c r="T221" s="898">
        <f>SUM(T223:T224)</f>
        <v>700000</v>
      </c>
      <c r="U221" s="881">
        <f>SUM(U223:U224)</f>
        <v>0</v>
      </c>
    </row>
    <row r="222" spans="1:21">
      <c r="A222" s="1009"/>
      <c r="B222" s="1010" t="s">
        <v>128</v>
      </c>
      <c r="C222" s="404"/>
      <c r="D222" s="957"/>
      <c r="E222" s="958"/>
      <c r="F222" s="958"/>
      <c r="G222" s="224"/>
      <c r="H222" s="244"/>
      <c r="I222" s="223"/>
      <c r="J222" s="223"/>
      <c r="K222" s="224"/>
      <c r="L222" s="695"/>
      <c r="M222" s="222"/>
      <c r="N222" s="223"/>
      <c r="O222" s="223"/>
      <c r="P222" s="224"/>
      <c r="Q222" s="705"/>
      <c r="R222" s="222"/>
      <c r="S222" s="223"/>
      <c r="T222" s="223"/>
      <c r="U222" s="224"/>
    </row>
    <row r="223" spans="1:21" ht="27" customHeight="1">
      <c r="A223" s="1009" t="s">
        <v>705</v>
      </c>
      <c r="B223" s="20" t="s">
        <v>631</v>
      </c>
      <c r="C223" s="1013" t="s">
        <v>355</v>
      </c>
      <c r="D223" s="386">
        <f>170000+3952</f>
        <v>173952</v>
      </c>
      <c r="E223" s="232">
        <f>D223-G223</f>
        <v>173952</v>
      </c>
      <c r="F223" s="349">
        <f>100000+3952</f>
        <v>103952</v>
      </c>
      <c r="G223" s="88"/>
      <c r="H223" s="245"/>
      <c r="I223" s="1024"/>
      <c r="J223" s="1023"/>
      <c r="K223" s="224"/>
      <c r="L223" s="361"/>
      <c r="M223" s="1029"/>
      <c r="N223" s="1024"/>
      <c r="O223" s="1023"/>
      <c r="P223" s="224"/>
      <c r="Q223" s="69">
        <v>11012</v>
      </c>
      <c r="R223" s="87">
        <v>860000</v>
      </c>
      <c r="S223" s="232">
        <v>860000</v>
      </c>
      <c r="T223" s="349">
        <v>700000</v>
      </c>
      <c r="U223" s="233"/>
    </row>
    <row r="224" spans="1:21" ht="24.75" customHeight="1">
      <c r="A224" s="1009" t="s">
        <v>706</v>
      </c>
      <c r="B224" s="20" t="s">
        <v>628</v>
      </c>
      <c r="C224" s="402">
        <v>10</v>
      </c>
      <c r="D224" s="386"/>
      <c r="E224" s="232"/>
      <c r="F224" s="349"/>
      <c r="G224" s="224"/>
      <c r="H224" s="245"/>
      <c r="I224" s="1024"/>
      <c r="J224" s="1023"/>
      <c r="K224" s="224"/>
      <c r="L224" s="696" t="s">
        <v>483</v>
      </c>
      <c r="M224" s="411">
        <v>180000</v>
      </c>
      <c r="N224" s="234">
        <f>+M224</f>
        <v>180000</v>
      </c>
      <c r="O224" s="171">
        <v>170000</v>
      </c>
      <c r="P224" s="224"/>
      <c r="Q224" s="706">
        <v>11011</v>
      </c>
      <c r="R224" s="87">
        <v>800</v>
      </c>
      <c r="S224" s="1024">
        <v>800</v>
      </c>
      <c r="T224" s="1023"/>
      <c r="U224" s="224"/>
    </row>
    <row r="225" spans="1:21" ht="21" customHeight="1" thickBot="1">
      <c r="A225" s="14" t="s">
        <v>707</v>
      </c>
      <c r="B225" s="24" t="s">
        <v>242</v>
      </c>
      <c r="C225" s="1040">
        <v>10</v>
      </c>
      <c r="D225" s="1041"/>
      <c r="E225" s="1042"/>
      <c r="F225" s="1043"/>
      <c r="G225" s="242"/>
      <c r="H225" s="495"/>
      <c r="I225" s="240"/>
      <c r="J225" s="241"/>
      <c r="K225" s="242"/>
      <c r="L225" s="995" t="s">
        <v>483</v>
      </c>
      <c r="M225" s="1055">
        <v>265400</v>
      </c>
      <c r="N225" s="1056">
        <v>265400</v>
      </c>
      <c r="O225" s="1057">
        <v>220000</v>
      </c>
      <c r="P225" s="492"/>
      <c r="Q225" s="996"/>
      <c r="R225" s="408"/>
      <c r="S225" s="240"/>
      <c r="T225" s="241"/>
      <c r="U225" s="242"/>
    </row>
    <row r="226" spans="1:21" ht="33.75" customHeight="1">
      <c r="A226" s="382" t="s">
        <v>129</v>
      </c>
      <c r="B226" s="426" t="s">
        <v>401</v>
      </c>
      <c r="C226" s="1047">
        <v>10</v>
      </c>
      <c r="D226" s="1048">
        <f>SUM(D227:D230)</f>
        <v>506603</v>
      </c>
      <c r="E226" s="1049">
        <f>SUM(E227:E230)</f>
        <v>474751</v>
      </c>
      <c r="F226" s="1049">
        <f>SUM(F227:F230)</f>
        <v>384788</v>
      </c>
      <c r="G226" s="879">
        <f>SUM(G227:G230)</f>
        <v>31852</v>
      </c>
      <c r="H226" s="1050"/>
      <c r="I226" s="878"/>
      <c r="J226" s="878"/>
      <c r="K226" s="879"/>
      <c r="L226" s="1051"/>
      <c r="M226" s="1052">
        <f>SUM(M227:M229)</f>
        <v>1024800</v>
      </c>
      <c r="N226" s="1058">
        <f t="shared" ref="N226:P226" si="19">SUM(N227:N229)</f>
        <v>1024800</v>
      </c>
      <c r="O226" s="1058">
        <f t="shared" si="19"/>
        <v>977195</v>
      </c>
      <c r="P226" s="1059">
        <f t="shared" si="19"/>
        <v>0</v>
      </c>
      <c r="Q226" s="1053"/>
      <c r="R226" s="877">
        <f>SUM(R227:R230)</f>
        <v>125000</v>
      </c>
      <c r="S226" s="878">
        <f>SUM(S227:S230)</f>
        <v>125000</v>
      </c>
      <c r="T226" s="878">
        <f>SUM(T227:T230)</f>
        <v>88000</v>
      </c>
      <c r="U226" s="879">
        <f>SUM(U227:U228)</f>
        <v>0</v>
      </c>
    </row>
    <row r="227" spans="1:21" ht="18" customHeight="1">
      <c r="A227" s="1009" t="s">
        <v>340</v>
      </c>
      <c r="B227" s="20" t="s">
        <v>629</v>
      </c>
      <c r="C227" s="402">
        <v>10</v>
      </c>
      <c r="D227" s="386"/>
      <c r="E227" s="232"/>
      <c r="F227" s="232"/>
      <c r="G227" s="1030"/>
      <c r="H227" s="245"/>
      <c r="I227" s="1024"/>
      <c r="J227" s="1024"/>
      <c r="K227" s="1030"/>
      <c r="L227" s="696" t="s">
        <v>483</v>
      </c>
      <c r="M227" s="174">
        <v>536700</v>
      </c>
      <c r="N227" s="175">
        <f>+M227</f>
        <v>536700</v>
      </c>
      <c r="O227" s="171">
        <v>510900</v>
      </c>
      <c r="P227" s="711"/>
      <c r="Q227" s="706">
        <v>11011</v>
      </c>
      <c r="R227" s="87">
        <v>1000</v>
      </c>
      <c r="S227" s="1024">
        <v>1000</v>
      </c>
      <c r="T227" s="1024"/>
      <c r="U227" s="1030"/>
    </row>
    <row r="228" spans="1:21" ht="26.25" customHeight="1">
      <c r="A228" s="1009" t="s">
        <v>341</v>
      </c>
      <c r="B228" s="100" t="s">
        <v>630</v>
      </c>
      <c r="C228" s="401">
        <v>10</v>
      </c>
      <c r="D228" s="1029"/>
      <c r="E228" s="1024"/>
      <c r="F228" s="1024"/>
      <c r="G228" s="1030"/>
      <c r="H228" s="245"/>
      <c r="I228" s="1024"/>
      <c r="J228" s="1024"/>
      <c r="K228" s="1030"/>
      <c r="L228" s="692" t="s">
        <v>483</v>
      </c>
      <c r="M228" s="174">
        <v>480900</v>
      </c>
      <c r="N228" s="175">
        <f>+M228</f>
        <v>480900</v>
      </c>
      <c r="O228" s="171">
        <v>459245</v>
      </c>
      <c r="P228" s="711"/>
      <c r="Q228" s="702">
        <v>11013</v>
      </c>
      <c r="R228" s="248">
        <v>24000</v>
      </c>
      <c r="S228" s="232">
        <v>24000</v>
      </c>
      <c r="T228" s="232"/>
      <c r="U228" s="235"/>
    </row>
    <row r="229" spans="1:21" ht="19.5" customHeight="1">
      <c r="A229" s="1009" t="s">
        <v>342</v>
      </c>
      <c r="B229" s="100" t="s">
        <v>632</v>
      </c>
      <c r="C229" s="401"/>
      <c r="D229" s="1029">
        <v>25000</v>
      </c>
      <c r="E229" s="1024">
        <f>D229-G229</f>
        <v>25000</v>
      </c>
      <c r="F229" s="1024">
        <v>24275</v>
      </c>
      <c r="G229" s="1030"/>
      <c r="H229" s="245"/>
      <c r="I229" s="1024"/>
      <c r="J229" s="1024"/>
      <c r="K229" s="1030"/>
      <c r="L229" s="692" t="s">
        <v>483</v>
      </c>
      <c r="M229" s="174">
        <v>7200</v>
      </c>
      <c r="N229" s="175">
        <v>7200</v>
      </c>
      <c r="O229" s="171">
        <v>7050</v>
      </c>
      <c r="P229" s="711"/>
      <c r="Q229" s="702"/>
      <c r="R229" s="248"/>
      <c r="S229" s="232"/>
      <c r="T229" s="232"/>
      <c r="U229" s="235"/>
    </row>
    <row r="230" spans="1:21" ht="33.75" customHeight="1" thickBot="1">
      <c r="A230" s="14" t="s">
        <v>708</v>
      </c>
      <c r="B230" s="24" t="s">
        <v>631</v>
      </c>
      <c r="C230" s="1054">
        <v>10</v>
      </c>
      <c r="D230" s="408">
        <f>431500+50103</f>
        <v>481603</v>
      </c>
      <c r="E230" s="240">
        <f>D230-G230</f>
        <v>449751</v>
      </c>
      <c r="F230" s="1042">
        <v>360513</v>
      </c>
      <c r="G230" s="251">
        <v>31852</v>
      </c>
      <c r="H230" s="495"/>
      <c r="I230" s="240"/>
      <c r="J230" s="240"/>
      <c r="K230" s="251"/>
      <c r="L230" s="885"/>
      <c r="M230" s="489"/>
      <c r="N230" s="211"/>
      <c r="O230" s="211"/>
      <c r="P230" s="1060"/>
      <c r="Q230" s="887">
        <v>11012</v>
      </c>
      <c r="R230" s="1061">
        <v>100000</v>
      </c>
      <c r="S230" s="1062">
        <v>100000</v>
      </c>
      <c r="T230" s="1062">
        <v>88000</v>
      </c>
      <c r="U230" s="1063"/>
    </row>
    <row r="231" spans="1:21" ht="24">
      <c r="A231" s="1000" t="s">
        <v>268</v>
      </c>
      <c r="B231" s="1044" t="s">
        <v>386</v>
      </c>
      <c r="C231" s="755" t="s">
        <v>94</v>
      </c>
      <c r="D231" s="718">
        <f>SUM(D233:D233)</f>
        <v>2300</v>
      </c>
      <c r="E231" s="719">
        <f>SUM(E233:E233)</f>
        <v>2300</v>
      </c>
      <c r="F231" s="719">
        <f>SUM(F233:F233)</f>
        <v>0</v>
      </c>
      <c r="G231" s="1035">
        <f>SUM(G233:G233)</f>
        <v>0</v>
      </c>
      <c r="H231" s="1028"/>
      <c r="I231" s="1022"/>
      <c r="J231" s="698"/>
      <c r="K231" s="717"/>
      <c r="L231" s="1045"/>
      <c r="M231" s="545"/>
      <c r="N231" s="546"/>
      <c r="O231" s="546"/>
      <c r="P231" s="883"/>
      <c r="Q231" s="1046"/>
      <c r="R231" s="877"/>
      <c r="S231" s="878"/>
      <c r="T231" s="878"/>
      <c r="U231" s="879"/>
    </row>
    <row r="232" spans="1:21">
      <c r="A232" s="480"/>
      <c r="B232" s="384" t="s">
        <v>126</v>
      </c>
      <c r="C232" s="405"/>
      <c r="D232" s="660"/>
      <c r="E232" s="659"/>
      <c r="F232" s="85"/>
      <c r="G232" s="224"/>
      <c r="H232" s="245"/>
      <c r="I232" s="659"/>
      <c r="J232" s="85"/>
      <c r="K232" s="224"/>
      <c r="L232" s="697"/>
      <c r="M232" s="412"/>
      <c r="N232" s="236"/>
      <c r="O232" s="237"/>
      <c r="P232" s="714"/>
      <c r="Q232" s="707"/>
      <c r="R232" s="1029"/>
      <c r="S232" s="1024"/>
      <c r="T232" s="1023"/>
      <c r="U232" s="224"/>
    </row>
    <row r="233" spans="1:21" ht="34.5" thickBot="1">
      <c r="A233" s="998" t="s">
        <v>269</v>
      </c>
      <c r="B233" s="141" t="s">
        <v>397</v>
      </c>
      <c r="C233" s="465" t="s">
        <v>94</v>
      </c>
      <c r="D233" s="408">
        <v>2300</v>
      </c>
      <c r="E233" s="240">
        <v>2300</v>
      </c>
      <c r="F233" s="241"/>
      <c r="G233" s="721"/>
      <c r="H233" s="495"/>
      <c r="I233" s="240"/>
      <c r="J233" s="241"/>
      <c r="K233" s="242"/>
      <c r="L233" s="692"/>
      <c r="M233" s="413"/>
      <c r="N233" s="243"/>
      <c r="O233" s="243"/>
      <c r="P233" s="716"/>
      <c r="Q233" s="702"/>
      <c r="R233" s="408"/>
      <c r="S233" s="240"/>
      <c r="T233" s="241"/>
      <c r="U233" s="242"/>
    </row>
    <row r="234" spans="1:21" ht="41.25" hidden="1" customHeight="1">
      <c r="A234" s="480"/>
      <c r="B234" s="399" t="s">
        <v>492</v>
      </c>
      <c r="C234" s="465"/>
      <c r="D234" s="718">
        <f>SUM(D236:D245)</f>
        <v>0</v>
      </c>
      <c r="E234" s="719">
        <f>SUM(E236:E245)</f>
        <v>0</v>
      </c>
      <c r="F234" s="698"/>
      <c r="G234" s="720"/>
      <c r="H234" s="663"/>
      <c r="I234" s="655"/>
      <c r="J234" s="698"/>
      <c r="K234" s="699"/>
      <c r="L234" s="356"/>
      <c r="M234" s="708"/>
      <c r="N234" s="709"/>
      <c r="O234" s="709"/>
      <c r="P234" s="710"/>
      <c r="Q234" s="127"/>
      <c r="R234" s="656"/>
      <c r="S234" s="655"/>
      <c r="T234" s="698"/>
      <c r="U234" s="717"/>
    </row>
    <row r="235" spans="1:21" ht="13.5" hidden="1" thickBot="1">
      <c r="A235" s="480"/>
      <c r="B235" s="141" t="s">
        <v>493</v>
      </c>
      <c r="C235" s="465"/>
      <c r="D235" s="556"/>
      <c r="E235" s="555"/>
      <c r="F235" s="85"/>
      <c r="G235" s="88"/>
      <c r="H235" s="245"/>
      <c r="I235" s="393"/>
      <c r="J235" s="85"/>
      <c r="K235" s="231"/>
      <c r="L235" s="356"/>
      <c r="M235" s="174"/>
      <c r="N235" s="175"/>
      <c r="O235" s="175"/>
      <c r="P235" s="172"/>
      <c r="Q235" s="127"/>
      <c r="R235" s="392"/>
      <c r="S235" s="393"/>
      <c r="T235" s="85"/>
      <c r="U235" s="224"/>
    </row>
    <row r="236" spans="1:21" ht="24" hidden="1" customHeight="1">
      <c r="A236" s="464" t="s">
        <v>494</v>
      </c>
      <c r="B236" s="143" t="s">
        <v>427</v>
      </c>
      <c r="C236" s="465" t="s">
        <v>94</v>
      </c>
      <c r="D236" s="83"/>
      <c r="E236" s="82"/>
      <c r="F236" s="82"/>
      <c r="G236" s="84"/>
      <c r="H236" s="245"/>
      <c r="I236" s="393"/>
      <c r="J236" s="85"/>
      <c r="K236" s="231"/>
      <c r="L236" s="356"/>
      <c r="M236" s="174"/>
      <c r="N236" s="175"/>
      <c r="O236" s="175"/>
      <c r="P236" s="172"/>
      <c r="Q236" s="127"/>
      <c r="R236" s="392"/>
      <c r="S236" s="393"/>
      <c r="T236" s="85"/>
      <c r="U236" s="224"/>
    </row>
    <row r="237" spans="1:21" ht="13.5" hidden="1" thickBot="1">
      <c r="A237" s="464" t="s">
        <v>495</v>
      </c>
      <c r="B237" s="143" t="s">
        <v>224</v>
      </c>
      <c r="C237" s="465" t="s">
        <v>94</v>
      </c>
      <c r="D237" s="83"/>
      <c r="E237" s="82"/>
      <c r="F237" s="82"/>
      <c r="G237" s="84"/>
      <c r="H237" s="245"/>
      <c r="I237" s="393"/>
      <c r="J237" s="85"/>
      <c r="K237" s="231"/>
      <c r="L237" s="356"/>
      <c r="M237" s="174"/>
      <c r="N237" s="175"/>
      <c r="O237" s="175"/>
      <c r="P237" s="172"/>
      <c r="Q237" s="127"/>
      <c r="R237" s="392"/>
      <c r="S237" s="393"/>
      <c r="T237" s="85"/>
      <c r="U237" s="224"/>
    </row>
    <row r="238" spans="1:21" ht="27.75" hidden="1" customHeight="1">
      <c r="A238" s="464" t="s">
        <v>496</v>
      </c>
      <c r="B238" s="143" t="s">
        <v>303</v>
      </c>
      <c r="C238" s="465" t="s">
        <v>94</v>
      </c>
      <c r="D238" s="83"/>
      <c r="E238" s="82"/>
      <c r="F238" s="82"/>
      <c r="G238" s="84"/>
      <c r="H238" s="245"/>
      <c r="I238" s="393"/>
      <c r="J238" s="85"/>
      <c r="K238" s="231"/>
      <c r="L238" s="356"/>
      <c r="M238" s="174"/>
      <c r="N238" s="175"/>
      <c r="O238" s="175"/>
      <c r="P238" s="172"/>
      <c r="Q238" s="127"/>
      <c r="R238" s="392"/>
      <c r="S238" s="393"/>
      <c r="T238" s="85"/>
      <c r="U238" s="224"/>
    </row>
    <row r="239" spans="1:21" ht="26.25" hidden="1" customHeight="1">
      <c r="A239" s="464" t="s">
        <v>497</v>
      </c>
      <c r="B239" s="143" t="s">
        <v>304</v>
      </c>
      <c r="C239" s="465" t="s">
        <v>94</v>
      </c>
      <c r="D239" s="83"/>
      <c r="E239" s="82"/>
      <c r="F239" s="82"/>
      <c r="G239" s="84"/>
      <c r="H239" s="245"/>
      <c r="I239" s="393"/>
      <c r="J239" s="85"/>
      <c r="K239" s="231"/>
      <c r="L239" s="356"/>
      <c r="M239" s="174"/>
      <c r="N239" s="175"/>
      <c r="O239" s="175"/>
      <c r="P239" s="172"/>
      <c r="Q239" s="127"/>
      <c r="R239" s="392"/>
      <c r="S239" s="393"/>
      <c r="T239" s="85"/>
      <c r="U239" s="224"/>
    </row>
    <row r="240" spans="1:21" ht="21.75" hidden="1" thickBot="1">
      <c r="A240" s="464" t="s">
        <v>498</v>
      </c>
      <c r="B240" s="143" t="s">
        <v>236</v>
      </c>
      <c r="C240" s="465" t="s">
        <v>94</v>
      </c>
      <c r="D240" s="83"/>
      <c r="E240" s="82"/>
      <c r="F240" s="82"/>
      <c r="G240" s="84"/>
      <c r="H240" s="245"/>
      <c r="I240" s="393"/>
      <c r="J240" s="85"/>
      <c r="K240" s="231"/>
      <c r="L240" s="356"/>
      <c r="M240" s="174"/>
      <c r="N240" s="175"/>
      <c r="O240" s="175"/>
      <c r="P240" s="172"/>
      <c r="Q240" s="127"/>
      <c r="R240" s="392"/>
      <c r="S240" s="393"/>
      <c r="T240" s="85"/>
      <c r="U240" s="224"/>
    </row>
    <row r="241" spans="1:21" ht="13.5" hidden="1" thickBot="1">
      <c r="A241" s="464" t="s">
        <v>499</v>
      </c>
      <c r="B241" s="143" t="s">
        <v>223</v>
      </c>
      <c r="C241" s="465" t="s">
        <v>94</v>
      </c>
      <c r="D241" s="83"/>
      <c r="E241" s="82"/>
      <c r="F241" s="82"/>
      <c r="G241" s="84"/>
      <c r="H241" s="245"/>
      <c r="I241" s="393"/>
      <c r="J241" s="85"/>
      <c r="K241" s="231"/>
      <c r="L241" s="356"/>
      <c r="M241" s="174"/>
      <c r="N241" s="175"/>
      <c r="O241" s="175"/>
      <c r="P241" s="172"/>
      <c r="Q241" s="127"/>
      <c r="R241" s="392"/>
      <c r="S241" s="393"/>
      <c r="T241" s="85"/>
      <c r="U241" s="224"/>
    </row>
    <row r="242" spans="1:21" ht="13.5" hidden="1" thickBot="1">
      <c r="A242" s="464" t="s">
        <v>500</v>
      </c>
      <c r="B242" s="143" t="s">
        <v>312</v>
      </c>
      <c r="C242" s="465" t="s">
        <v>94</v>
      </c>
      <c r="D242" s="83"/>
      <c r="E242" s="82"/>
      <c r="F242" s="82"/>
      <c r="G242" s="84"/>
      <c r="H242" s="245"/>
      <c r="I242" s="393"/>
      <c r="J242" s="85"/>
      <c r="K242" s="231"/>
      <c r="L242" s="356"/>
      <c r="M242" s="174"/>
      <c r="N242" s="175"/>
      <c r="O242" s="175"/>
      <c r="P242" s="172"/>
      <c r="Q242" s="127"/>
      <c r="R242" s="392"/>
      <c r="S242" s="393"/>
      <c r="T242" s="85"/>
      <c r="U242" s="224"/>
    </row>
    <row r="243" spans="1:21" ht="13.5" hidden="1" thickBot="1">
      <c r="A243" s="464" t="s">
        <v>501</v>
      </c>
      <c r="B243" s="143" t="s">
        <v>205</v>
      </c>
      <c r="C243" s="465" t="s">
        <v>94</v>
      </c>
      <c r="D243" s="83"/>
      <c r="E243" s="82"/>
      <c r="F243" s="82"/>
      <c r="G243" s="84"/>
      <c r="H243" s="245"/>
      <c r="I243" s="393"/>
      <c r="J243" s="85"/>
      <c r="K243" s="231"/>
      <c r="L243" s="356"/>
      <c r="M243" s="174"/>
      <c r="N243" s="175"/>
      <c r="O243" s="175"/>
      <c r="P243" s="172"/>
      <c r="Q243" s="127"/>
      <c r="R243" s="392"/>
      <c r="S243" s="393"/>
      <c r="T243" s="85"/>
      <c r="U243" s="224"/>
    </row>
    <row r="244" spans="1:21" ht="13.5" hidden="1" thickBot="1">
      <c r="A244" s="464" t="s">
        <v>502</v>
      </c>
      <c r="B244" s="143" t="s">
        <v>426</v>
      </c>
      <c r="C244" s="465" t="s">
        <v>94</v>
      </c>
      <c r="D244" s="83"/>
      <c r="E244" s="82"/>
      <c r="F244" s="82"/>
      <c r="G244" s="84"/>
      <c r="H244" s="484"/>
      <c r="I244" s="472"/>
      <c r="J244" s="486"/>
      <c r="K244" s="487"/>
      <c r="L244" s="488"/>
      <c r="M244" s="489"/>
      <c r="N244" s="211"/>
      <c r="O244" s="211"/>
      <c r="P244" s="490"/>
      <c r="Q244" s="491"/>
      <c r="R244" s="483"/>
      <c r="S244" s="472"/>
      <c r="T244" s="486"/>
      <c r="U244" s="492"/>
    </row>
    <row r="245" spans="1:21" ht="21.75" hidden="1" thickBot="1">
      <c r="A245" s="140" t="s">
        <v>517</v>
      </c>
      <c r="B245" s="400" t="s">
        <v>518</v>
      </c>
      <c r="C245" s="98" t="s">
        <v>94</v>
      </c>
      <c r="D245" s="406"/>
      <c r="E245" s="407"/>
      <c r="F245" s="407"/>
      <c r="G245" s="496"/>
      <c r="H245" s="495"/>
      <c r="I245" s="240"/>
      <c r="J245" s="241"/>
      <c r="K245" s="385"/>
      <c r="L245" s="410"/>
      <c r="M245" s="489"/>
      <c r="N245" s="211"/>
      <c r="O245" s="211"/>
      <c r="P245" s="490"/>
      <c r="Q245" s="416"/>
      <c r="R245" s="408"/>
      <c r="S245" s="240"/>
      <c r="T245" s="241"/>
      <c r="U245" s="242"/>
    </row>
    <row r="246" spans="1:21" ht="43.5" thickBot="1">
      <c r="A246" s="44" t="s">
        <v>127</v>
      </c>
      <c r="B246" s="381" t="s">
        <v>643</v>
      </c>
      <c r="C246" s="560"/>
      <c r="D246" s="665">
        <f>SUM(D248,D254,D258,D264,D268,D274)</f>
        <v>1005771</v>
      </c>
      <c r="E246" s="665">
        <f>SUM(E248,E254,E258,E264,E268,E274)</f>
        <v>886014</v>
      </c>
      <c r="F246" s="665">
        <f>SUM(F248,F254,F258,F264,F268,F274)</f>
        <v>455000</v>
      </c>
      <c r="G246" s="665">
        <f>SUM(G248,G254,G258,G264,G268,G274)</f>
        <v>119757</v>
      </c>
      <c r="H246" s="562">
        <f t="shared" ref="H246:U246" si="20">SUM(H248)</f>
        <v>10246</v>
      </c>
      <c r="I246" s="561">
        <f t="shared" si="20"/>
        <v>10246</v>
      </c>
      <c r="J246" s="561">
        <f t="shared" si="20"/>
        <v>10100</v>
      </c>
      <c r="K246" s="563">
        <f t="shared" si="20"/>
        <v>0</v>
      </c>
      <c r="L246" s="688"/>
      <c r="M246" s="1031">
        <f>SUM(M248,M258)</f>
        <v>314700</v>
      </c>
      <c r="N246" s="1032">
        <f t="shared" ref="N246:P246" si="21">SUM(N248,N258)</f>
        <v>314700</v>
      </c>
      <c r="O246" s="1032">
        <f t="shared" si="21"/>
        <v>204000</v>
      </c>
      <c r="P246" s="1033">
        <f t="shared" si="21"/>
        <v>0</v>
      </c>
      <c r="Q246" s="55"/>
      <c r="R246" s="562">
        <f>SUM(R248,R258)</f>
        <v>2400</v>
      </c>
      <c r="S246" s="561">
        <f>SUM(S248,S258)</f>
        <v>2400</v>
      </c>
      <c r="T246" s="561">
        <f t="shared" si="20"/>
        <v>0</v>
      </c>
      <c r="U246" s="563">
        <f t="shared" si="20"/>
        <v>0</v>
      </c>
    </row>
    <row r="247" spans="1:21">
      <c r="A247" s="41"/>
      <c r="B247" s="666" t="s">
        <v>493</v>
      </c>
      <c r="C247" s="1102"/>
      <c r="D247" s="219"/>
      <c r="E247" s="220"/>
      <c r="F247" s="220"/>
      <c r="G247" s="221"/>
      <c r="H247" s="493"/>
      <c r="I247" s="220"/>
      <c r="J247" s="220"/>
      <c r="K247" s="221"/>
      <c r="L247" s="373"/>
      <c r="M247" s="219"/>
      <c r="N247" s="220"/>
      <c r="O247" s="220"/>
      <c r="P247" s="221"/>
      <c r="Q247" s="1103"/>
      <c r="R247" s="219"/>
      <c r="S247" s="220"/>
      <c r="T247" s="220"/>
      <c r="U247" s="221"/>
    </row>
    <row r="248" spans="1:21" ht="24">
      <c r="A248" s="1085" t="s">
        <v>125</v>
      </c>
      <c r="B248" s="107" t="s">
        <v>124</v>
      </c>
      <c r="C248" s="122"/>
      <c r="D248" s="222">
        <f>SUM(D249:D253)</f>
        <v>551781</v>
      </c>
      <c r="E248" s="223">
        <f>SUM(E249:E253)</f>
        <v>535024</v>
      </c>
      <c r="F248" s="223">
        <f>SUM(F249:F253)</f>
        <v>455000</v>
      </c>
      <c r="G248" s="224">
        <f>SUM(G249:G253)</f>
        <v>16757</v>
      </c>
      <c r="H248" s="244">
        <f>SUM(H249:H278)</f>
        <v>10246</v>
      </c>
      <c r="I248" s="223">
        <f>SUM(I249:I278)</f>
        <v>10246</v>
      </c>
      <c r="J248" s="223">
        <f>SUM(J249:J278)</f>
        <v>10100</v>
      </c>
      <c r="K248" s="224">
        <f>SUM(K249:K278)</f>
        <v>0</v>
      </c>
      <c r="L248" s="360"/>
      <c r="M248" s="222">
        <f>SUM(M249:M253)</f>
        <v>0</v>
      </c>
      <c r="N248" s="223">
        <f t="shared" ref="N248:P248" si="22">SUM(N249:N253)</f>
        <v>0</v>
      </c>
      <c r="O248" s="223">
        <f t="shared" si="22"/>
        <v>0</v>
      </c>
      <c r="P248" s="224">
        <f t="shared" si="22"/>
        <v>0</v>
      </c>
      <c r="Q248" s="56"/>
      <c r="R248" s="222">
        <f>SUM(R249:R250)</f>
        <v>900</v>
      </c>
      <c r="S248" s="223">
        <f>SUM(S249:S250)</f>
        <v>900</v>
      </c>
      <c r="T248" s="223">
        <f>SUM(T249:T278)</f>
        <v>0</v>
      </c>
      <c r="U248" s="224">
        <f>SUM(U249:U278)</f>
        <v>0</v>
      </c>
    </row>
    <row r="249" spans="1:21" ht="15.75" customHeight="1">
      <c r="A249" s="1129" t="s">
        <v>208</v>
      </c>
      <c r="B249" s="1212" t="s">
        <v>209</v>
      </c>
      <c r="C249" s="1221" t="s">
        <v>349</v>
      </c>
      <c r="D249" s="1223">
        <f>505105+20976</f>
        <v>526081</v>
      </c>
      <c r="E249" s="1174">
        <f>D249-G249</f>
        <v>509324</v>
      </c>
      <c r="F249" s="1224">
        <v>455000</v>
      </c>
      <c r="G249" s="1163">
        <v>16757</v>
      </c>
      <c r="H249" s="1213">
        <v>10246</v>
      </c>
      <c r="I249" s="1171">
        <f>H249-K249</f>
        <v>10246</v>
      </c>
      <c r="J249" s="1171">
        <v>10100</v>
      </c>
      <c r="K249" s="1225"/>
      <c r="L249" s="1161"/>
      <c r="M249" s="1223"/>
      <c r="N249" s="1175"/>
      <c r="O249" s="1175"/>
      <c r="P249" s="1163"/>
      <c r="Q249" s="57">
        <v>11011</v>
      </c>
      <c r="R249" s="87">
        <v>700</v>
      </c>
      <c r="S249" s="1079">
        <v>700</v>
      </c>
      <c r="T249" s="1079"/>
      <c r="U249" s="1080"/>
    </row>
    <row r="250" spans="1:21" ht="16.5" customHeight="1">
      <c r="A250" s="1129"/>
      <c r="B250" s="1212"/>
      <c r="C250" s="1222"/>
      <c r="D250" s="1223"/>
      <c r="E250" s="1175"/>
      <c r="F250" s="1224"/>
      <c r="G250" s="1163"/>
      <c r="H250" s="1214"/>
      <c r="I250" s="1172"/>
      <c r="J250" s="1172"/>
      <c r="K250" s="1226"/>
      <c r="L250" s="1162"/>
      <c r="M250" s="1223"/>
      <c r="N250" s="1175"/>
      <c r="O250" s="1175"/>
      <c r="P250" s="1163"/>
      <c r="Q250" s="57">
        <v>11013</v>
      </c>
      <c r="R250" s="87">
        <v>200</v>
      </c>
      <c r="S250" s="1079">
        <v>200</v>
      </c>
      <c r="T250" s="1079"/>
      <c r="U250" s="1080"/>
    </row>
    <row r="251" spans="1:21" ht="26.25" hidden="1" customHeight="1">
      <c r="A251" s="1089" t="s">
        <v>210</v>
      </c>
      <c r="B251" s="1083" t="s">
        <v>564</v>
      </c>
      <c r="C251" s="1077"/>
      <c r="D251" s="1078"/>
      <c r="E251" s="1079"/>
      <c r="F251" s="661"/>
      <c r="G251" s="1080"/>
      <c r="H251" s="1084"/>
      <c r="I251" s="1081"/>
      <c r="J251" s="1081"/>
      <c r="K251" s="1082"/>
      <c r="L251" s="664"/>
      <c r="M251" s="1078"/>
      <c r="N251" s="1079"/>
      <c r="O251" s="1079"/>
      <c r="P251" s="1080"/>
      <c r="Q251" s="57"/>
      <c r="R251" s="87"/>
      <c r="S251" s="1079"/>
      <c r="T251" s="1079"/>
      <c r="U251" s="1080"/>
    </row>
    <row r="252" spans="1:21" ht="26.25" customHeight="1">
      <c r="A252" s="1089" t="s">
        <v>210</v>
      </c>
      <c r="B252" s="1083" t="s">
        <v>634</v>
      </c>
      <c r="C252" s="1077"/>
      <c r="D252" s="1078">
        <v>2000</v>
      </c>
      <c r="E252" s="1079">
        <f>+D252</f>
        <v>2000</v>
      </c>
      <c r="F252" s="661"/>
      <c r="G252" s="1080"/>
      <c r="H252" s="1084"/>
      <c r="I252" s="1081"/>
      <c r="J252" s="1081"/>
      <c r="K252" s="1082"/>
      <c r="L252" s="664"/>
      <c r="M252" s="1078"/>
      <c r="N252" s="1079"/>
      <c r="O252" s="1079"/>
      <c r="P252" s="1080"/>
      <c r="Q252" s="57"/>
      <c r="R252" s="87"/>
      <c r="S252" s="1079"/>
      <c r="T252" s="1079"/>
      <c r="U252" s="1080"/>
    </row>
    <row r="253" spans="1:21" ht="36" customHeight="1" thickBot="1">
      <c r="A253" s="14" t="s">
        <v>709</v>
      </c>
      <c r="B253" s="1104" t="s">
        <v>633</v>
      </c>
      <c r="C253" s="1105" t="s">
        <v>91</v>
      </c>
      <c r="D253" s="408">
        <v>23700</v>
      </c>
      <c r="E253" s="240">
        <f>+D253</f>
        <v>23700</v>
      </c>
      <c r="F253" s="240"/>
      <c r="G253" s="251"/>
      <c r="H253" s="495"/>
      <c r="I253" s="240"/>
      <c r="J253" s="240"/>
      <c r="K253" s="251"/>
      <c r="L253" s="1106"/>
      <c r="M253" s="408"/>
      <c r="N253" s="240"/>
      <c r="O253" s="240"/>
      <c r="P253" s="251"/>
      <c r="Q253" s="1107"/>
      <c r="R253" s="408"/>
      <c r="S253" s="240"/>
      <c r="T253" s="240"/>
      <c r="U253" s="251"/>
    </row>
    <row r="254" spans="1:21" ht="42" customHeight="1">
      <c r="A254" s="1000" t="s">
        <v>246</v>
      </c>
      <c r="B254" s="908" t="s">
        <v>563</v>
      </c>
      <c r="C254" s="909" t="s">
        <v>91</v>
      </c>
      <c r="D254" s="910">
        <f>SUM(D255:D257)</f>
        <v>59000</v>
      </c>
      <c r="E254" s="911">
        <f>SUM(E255:E257)</f>
        <v>59000</v>
      </c>
      <c r="F254" s="911">
        <f>SUM(F255:F257)</f>
        <v>0</v>
      </c>
      <c r="G254" s="912">
        <f>SUM(G255:G257)</f>
        <v>0</v>
      </c>
      <c r="H254" s="1084"/>
      <c r="I254" s="1081"/>
      <c r="J254" s="1081"/>
      <c r="K254" s="1082"/>
      <c r="L254" s="664"/>
      <c r="M254" s="870"/>
      <c r="N254" s="1081"/>
      <c r="O254" s="1081"/>
      <c r="P254" s="1082"/>
      <c r="Q254" s="914"/>
      <c r="R254" s="870"/>
      <c r="S254" s="1081"/>
      <c r="T254" s="1081"/>
      <c r="U254" s="1082"/>
    </row>
    <row r="255" spans="1:21" ht="15" customHeight="1">
      <c r="A255" s="797" t="s">
        <v>270</v>
      </c>
      <c r="B255" s="793" t="s">
        <v>211</v>
      </c>
      <c r="C255" s="787" t="s">
        <v>91</v>
      </c>
      <c r="D255" s="788">
        <v>28000</v>
      </c>
      <c r="E255" s="796">
        <f>+D255</f>
        <v>28000</v>
      </c>
      <c r="F255" s="82"/>
      <c r="G255" s="84"/>
      <c r="H255" s="794"/>
      <c r="I255" s="789"/>
      <c r="J255" s="789"/>
      <c r="K255" s="792"/>
      <c r="L255" s="646"/>
      <c r="M255" s="1029"/>
      <c r="N255" s="1024"/>
      <c r="O255" s="1024"/>
      <c r="P255" s="1030"/>
      <c r="Q255" s="58"/>
      <c r="R255" s="791"/>
      <c r="S255" s="789"/>
      <c r="T255" s="789"/>
      <c r="U255" s="792"/>
    </row>
    <row r="256" spans="1:21" ht="15" customHeight="1">
      <c r="A256" s="797" t="s">
        <v>318</v>
      </c>
      <c r="B256" s="793" t="s">
        <v>319</v>
      </c>
      <c r="C256" s="787" t="s">
        <v>91</v>
      </c>
      <c r="D256" s="87">
        <v>8000</v>
      </c>
      <c r="E256" s="796">
        <f>+D256</f>
        <v>8000</v>
      </c>
      <c r="F256" s="82"/>
      <c r="G256" s="84"/>
      <c r="H256" s="794"/>
      <c r="I256" s="789"/>
      <c r="J256" s="789"/>
      <c r="K256" s="792"/>
      <c r="L256" s="646"/>
      <c r="M256" s="1029"/>
      <c r="N256" s="1024"/>
      <c r="O256" s="1024"/>
      <c r="P256" s="1030"/>
      <c r="Q256" s="58"/>
      <c r="R256" s="791"/>
      <c r="S256" s="789"/>
      <c r="T256" s="789"/>
      <c r="U256" s="792"/>
    </row>
    <row r="257" spans="1:21" ht="26.25" customHeight="1" thickBot="1">
      <c r="A257" s="18" t="s">
        <v>351</v>
      </c>
      <c r="B257" s="840" t="s">
        <v>456</v>
      </c>
      <c r="C257" s="148" t="s">
        <v>91</v>
      </c>
      <c r="D257" s="841">
        <v>23000</v>
      </c>
      <c r="E257" s="861">
        <f>+D257</f>
        <v>23000</v>
      </c>
      <c r="F257" s="861"/>
      <c r="G257" s="856"/>
      <c r="H257" s="794"/>
      <c r="I257" s="789"/>
      <c r="J257" s="789"/>
      <c r="K257" s="792"/>
      <c r="L257" s="646"/>
      <c r="M257" s="408"/>
      <c r="N257" s="240"/>
      <c r="O257" s="240"/>
      <c r="P257" s="251"/>
      <c r="Q257" s="59"/>
      <c r="R257" s="791"/>
      <c r="S257" s="789"/>
      <c r="T257" s="789"/>
      <c r="U257" s="792"/>
    </row>
    <row r="258" spans="1:21" ht="24">
      <c r="A258" s="382" t="s">
        <v>670</v>
      </c>
      <c r="B258" s="875" t="s">
        <v>386</v>
      </c>
      <c r="C258" s="876" t="s">
        <v>94</v>
      </c>
      <c r="D258" s="877">
        <f>SUM(D260:D263)</f>
        <v>0</v>
      </c>
      <c r="E258" s="878">
        <f>SUM(E260:E263)</f>
        <v>0</v>
      </c>
      <c r="F258" s="878">
        <f>SUM(F260:F263)</f>
        <v>0</v>
      </c>
      <c r="G258" s="879">
        <f>SUM(G260:G263)</f>
        <v>0</v>
      </c>
      <c r="H258" s="493"/>
      <c r="I258" s="220"/>
      <c r="J258" s="880"/>
      <c r="K258" s="881"/>
      <c r="L258" s="882"/>
      <c r="M258" s="528">
        <f>SUM(M260:M262)</f>
        <v>314700</v>
      </c>
      <c r="N258" s="529">
        <f>SUM(N260:N262)</f>
        <v>314700</v>
      </c>
      <c r="O258" s="529">
        <f>SUM(O260:O262)</f>
        <v>204000</v>
      </c>
      <c r="P258" s="1034">
        <f>SUM(P260:P261)</f>
        <v>0</v>
      </c>
      <c r="Q258" s="884"/>
      <c r="R258" s="877">
        <f>+R260</f>
        <v>1500</v>
      </c>
      <c r="S258" s="878">
        <f>+S260</f>
        <v>1500</v>
      </c>
      <c r="T258" s="880"/>
      <c r="U258" s="881"/>
    </row>
    <row r="259" spans="1:21">
      <c r="A259" s="848"/>
      <c r="B259" s="384" t="s">
        <v>126</v>
      </c>
      <c r="C259" s="405"/>
      <c r="D259" s="867"/>
      <c r="E259" s="863"/>
      <c r="F259" s="85"/>
      <c r="G259" s="224"/>
      <c r="H259" s="245"/>
      <c r="I259" s="863"/>
      <c r="J259" s="85"/>
      <c r="K259" s="224"/>
      <c r="L259" s="697"/>
      <c r="M259" s="412"/>
      <c r="N259" s="236"/>
      <c r="O259" s="237"/>
      <c r="P259" s="714"/>
      <c r="Q259" s="707"/>
      <c r="R259" s="867"/>
      <c r="S259" s="863"/>
      <c r="T259" s="85"/>
      <c r="U259" s="224"/>
    </row>
    <row r="260" spans="1:21" ht="38.25" customHeight="1">
      <c r="A260" s="998" t="s">
        <v>671</v>
      </c>
      <c r="B260" s="141" t="s">
        <v>485</v>
      </c>
      <c r="C260" s="850" t="s">
        <v>94</v>
      </c>
      <c r="D260" s="87"/>
      <c r="E260" s="85"/>
      <c r="F260" s="85"/>
      <c r="G260" s="88"/>
      <c r="H260" s="245"/>
      <c r="I260" s="863"/>
      <c r="J260" s="85"/>
      <c r="K260" s="224"/>
      <c r="L260" s="696" t="s">
        <v>483</v>
      </c>
      <c r="M260" s="411">
        <v>92300</v>
      </c>
      <c r="N260" s="234">
        <f>+M260</f>
        <v>92300</v>
      </c>
      <c r="O260" s="234">
        <v>71100</v>
      </c>
      <c r="P260" s="715"/>
      <c r="Q260" s="706">
        <v>11013</v>
      </c>
      <c r="R260" s="87">
        <v>1500</v>
      </c>
      <c r="S260" s="863">
        <v>1500</v>
      </c>
      <c r="T260" s="85"/>
      <c r="U260" s="224"/>
    </row>
    <row r="261" spans="1:21" ht="35.25" customHeight="1">
      <c r="A261" s="998" t="s">
        <v>672</v>
      </c>
      <c r="B261" s="141" t="s">
        <v>484</v>
      </c>
      <c r="C261" s="850" t="s">
        <v>94</v>
      </c>
      <c r="D261" s="867"/>
      <c r="E261" s="863"/>
      <c r="F261" s="85"/>
      <c r="G261" s="224"/>
      <c r="H261" s="245"/>
      <c r="I261" s="863"/>
      <c r="J261" s="85"/>
      <c r="K261" s="224"/>
      <c r="L261" s="692" t="s">
        <v>483</v>
      </c>
      <c r="M261" s="174">
        <v>162300</v>
      </c>
      <c r="N261" s="234">
        <f>+M261</f>
        <v>162300</v>
      </c>
      <c r="O261" s="175">
        <v>132900</v>
      </c>
      <c r="P261" s="711"/>
      <c r="Q261" s="702"/>
      <c r="R261" s="867"/>
      <c r="S261" s="863"/>
      <c r="T261" s="85"/>
      <c r="U261" s="224"/>
    </row>
    <row r="262" spans="1:21" ht="49.5" customHeight="1" thickBot="1">
      <c r="A262" s="14" t="s">
        <v>710</v>
      </c>
      <c r="B262" s="144" t="s">
        <v>548</v>
      </c>
      <c r="C262" s="98" t="s">
        <v>94</v>
      </c>
      <c r="D262" s="408"/>
      <c r="E262" s="240"/>
      <c r="F262" s="241"/>
      <c r="G262" s="242"/>
      <c r="H262" s="495"/>
      <c r="I262" s="240"/>
      <c r="J262" s="241"/>
      <c r="K262" s="242"/>
      <c r="L262" s="885" t="s">
        <v>483</v>
      </c>
      <c r="M262" s="413">
        <v>60100</v>
      </c>
      <c r="N262" s="886">
        <f>+M262</f>
        <v>60100</v>
      </c>
      <c r="O262" s="243"/>
      <c r="P262" s="716"/>
      <c r="Q262" s="887"/>
      <c r="R262" s="408"/>
      <c r="S262" s="240"/>
      <c r="T262" s="241"/>
      <c r="U262" s="242"/>
    </row>
    <row r="263" spans="1:21" ht="13.5" hidden="1" thickBot="1">
      <c r="A263" s="888" t="s">
        <v>469</v>
      </c>
      <c r="B263" s="889"/>
      <c r="C263" s="755" t="s">
        <v>94</v>
      </c>
      <c r="D263" s="893"/>
      <c r="E263" s="894"/>
      <c r="F263" s="895"/>
      <c r="G263" s="896"/>
      <c r="H263" s="900"/>
      <c r="I263" s="894"/>
      <c r="J263" s="895"/>
      <c r="K263" s="901"/>
      <c r="L263" s="873"/>
      <c r="M263" s="902"/>
      <c r="N263" s="903"/>
      <c r="O263" s="903"/>
      <c r="P263" s="904"/>
      <c r="Q263" s="874"/>
      <c r="R263" s="893"/>
      <c r="S263" s="894"/>
      <c r="T263" s="895"/>
      <c r="U263" s="901"/>
    </row>
    <row r="264" spans="1:21" ht="24">
      <c r="A264" s="382" t="s">
        <v>673</v>
      </c>
      <c r="B264" s="890" t="s">
        <v>459</v>
      </c>
      <c r="C264" s="795"/>
      <c r="D264" s="897">
        <f>SUM(D266:D267,)</f>
        <v>288990</v>
      </c>
      <c r="E264" s="898">
        <f t="shared" ref="E264:U264" si="23">SUM(E266:E267,)</f>
        <v>288990</v>
      </c>
      <c r="F264" s="898">
        <f t="shared" si="23"/>
        <v>0</v>
      </c>
      <c r="G264" s="899">
        <f t="shared" si="23"/>
        <v>0</v>
      </c>
      <c r="H264" s="897">
        <f t="shared" si="23"/>
        <v>0</v>
      </c>
      <c r="I264" s="898">
        <f t="shared" si="23"/>
        <v>0</v>
      </c>
      <c r="J264" s="898">
        <f t="shared" si="23"/>
        <v>0</v>
      </c>
      <c r="K264" s="881">
        <f t="shared" si="23"/>
        <v>0</v>
      </c>
      <c r="L264" s="700">
        <f t="shared" si="23"/>
        <v>0</v>
      </c>
      <c r="M264" s="897">
        <f t="shared" si="23"/>
        <v>0</v>
      </c>
      <c r="N264" s="898">
        <f t="shared" si="23"/>
        <v>0</v>
      </c>
      <c r="O264" s="898">
        <f t="shared" si="23"/>
        <v>0</v>
      </c>
      <c r="P264" s="881">
        <f t="shared" si="23"/>
        <v>0</v>
      </c>
      <c r="Q264" s="700">
        <f t="shared" si="23"/>
        <v>0</v>
      </c>
      <c r="R264" s="897">
        <f t="shared" si="23"/>
        <v>0</v>
      </c>
      <c r="S264" s="898">
        <f t="shared" si="23"/>
        <v>0</v>
      </c>
      <c r="T264" s="898">
        <f t="shared" si="23"/>
        <v>0</v>
      </c>
      <c r="U264" s="881">
        <f t="shared" si="23"/>
        <v>0</v>
      </c>
    </row>
    <row r="265" spans="1:21">
      <c r="A265" s="848"/>
      <c r="B265" s="891" t="s">
        <v>144</v>
      </c>
      <c r="C265" s="795"/>
      <c r="D265" s="867"/>
      <c r="E265" s="863"/>
      <c r="F265" s="863"/>
      <c r="G265" s="227"/>
      <c r="H265" s="867"/>
      <c r="I265" s="863"/>
      <c r="J265" s="863"/>
      <c r="K265" s="868"/>
      <c r="L265" s="691"/>
      <c r="M265" s="867"/>
      <c r="N265" s="863"/>
      <c r="O265" s="863"/>
      <c r="P265" s="868"/>
      <c r="Q265" s="391"/>
      <c r="R265" s="867"/>
      <c r="S265" s="863"/>
      <c r="T265" s="863"/>
      <c r="U265" s="868"/>
    </row>
    <row r="266" spans="1:21" ht="52.5" customHeight="1">
      <c r="A266" s="998" t="s">
        <v>674</v>
      </c>
      <c r="B266" s="108" t="s">
        <v>558</v>
      </c>
      <c r="C266" s="795" t="s">
        <v>355</v>
      </c>
      <c r="D266" s="867">
        <v>76239</v>
      </c>
      <c r="E266" s="863">
        <f>+D266</f>
        <v>76239</v>
      </c>
      <c r="F266" s="863"/>
      <c r="G266" s="227"/>
      <c r="H266" s="867"/>
      <c r="I266" s="863"/>
      <c r="J266" s="863"/>
      <c r="K266" s="868"/>
      <c r="L266" s="361"/>
      <c r="M266" s="867"/>
      <c r="N266" s="863"/>
      <c r="O266" s="863"/>
      <c r="P266" s="868"/>
      <c r="Q266" s="69"/>
      <c r="R266" s="867"/>
      <c r="S266" s="863"/>
      <c r="T266" s="863"/>
      <c r="U266" s="868"/>
    </row>
    <row r="267" spans="1:21" ht="42" customHeight="1" thickBot="1">
      <c r="A267" s="18" t="s">
        <v>675</v>
      </c>
      <c r="B267" s="905" t="s">
        <v>638</v>
      </c>
      <c r="C267" s="906" t="s">
        <v>355</v>
      </c>
      <c r="D267" s="841">
        <v>212751</v>
      </c>
      <c r="E267" s="861">
        <f>+D267</f>
        <v>212751</v>
      </c>
      <c r="F267" s="861"/>
      <c r="G267" s="907"/>
      <c r="H267" s="869"/>
      <c r="I267" s="861"/>
      <c r="J267" s="861"/>
      <c r="K267" s="856"/>
      <c r="L267" s="646"/>
      <c r="M267" s="869"/>
      <c r="N267" s="861"/>
      <c r="O267" s="861"/>
      <c r="P267" s="856"/>
      <c r="Q267" s="647"/>
      <c r="R267" s="869"/>
      <c r="S267" s="861"/>
      <c r="T267" s="861"/>
      <c r="U267" s="856"/>
    </row>
    <row r="268" spans="1:21" ht="48" customHeight="1">
      <c r="A268" s="382" t="s">
        <v>676</v>
      </c>
      <c r="B268" s="46" t="s">
        <v>460</v>
      </c>
      <c r="C268" s="943" t="s">
        <v>94</v>
      </c>
      <c r="D268" s="915">
        <f>SUM(D270:D273)</f>
        <v>104000</v>
      </c>
      <c r="E268" s="898">
        <f t="shared" ref="E268:G268" si="24">SUM(E270:E273)</f>
        <v>3000</v>
      </c>
      <c r="F268" s="898">
        <f t="shared" si="24"/>
        <v>0</v>
      </c>
      <c r="G268" s="881">
        <f t="shared" si="24"/>
        <v>101000</v>
      </c>
      <c r="H268" s="915">
        <f>+H273</f>
        <v>0</v>
      </c>
      <c r="I268" s="898">
        <f>+I273</f>
        <v>0</v>
      </c>
      <c r="J268" s="898">
        <f t="shared" ref="J268:U268" si="25">+J273</f>
        <v>0</v>
      </c>
      <c r="K268" s="881">
        <f t="shared" si="25"/>
        <v>0</v>
      </c>
      <c r="L268" s="916">
        <f t="shared" si="25"/>
        <v>0</v>
      </c>
      <c r="M268" s="897">
        <f t="shared" si="25"/>
        <v>0</v>
      </c>
      <c r="N268" s="898">
        <f t="shared" si="25"/>
        <v>0</v>
      </c>
      <c r="O268" s="898">
        <f t="shared" si="25"/>
        <v>0</v>
      </c>
      <c r="P268" s="881">
        <f t="shared" si="25"/>
        <v>0</v>
      </c>
      <c r="Q268" s="916">
        <f t="shared" si="25"/>
        <v>0</v>
      </c>
      <c r="R268" s="897">
        <f t="shared" si="25"/>
        <v>0</v>
      </c>
      <c r="S268" s="898">
        <f t="shared" si="25"/>
        <v>0</v>
      </c>
      <c r="T268" s="898">
        <f t="shared" si="25"/>
        <v>0</v>
      </c>
      <c r="U268" s="881">
        <f t="shared" si="25"/>
        <v>0</v>
      </c>
    </row>
    <row r="269" spans="1:21">
      <c r="A269" s="848"/>
      <c r="B269" s="849" t="s">
        <v>130</v>
      </c>
      <c r="C269" s="27"/>
      <c r="D269" s="245"/>
      <c r="E269" s="863"/>
      <c r="F269" s="863"/>
      <c r="G269" s="868"/>
      <c r="H269" s="245"/>
      <c r="I269" s="863"/>
      <c r="J269" s="863"/>
      <c r="K269" s="868"/>
      <c r="L269" s="695"/>
      <c r="M269" s="867"/>
      <c r="N269" s="863"/>
      <c r="O269" s="863"/>
      <c r="P269" s="868"/>
      <c r="Q269" s="705"/>
      <c r="R269" s="867"/>
      <c r="S269" s="863"/>
      <c r="T269" s="863"/>
      <c r="U269" s="868"/>
    </row>
    <row r="270" spans="1:21" ht="30.75" customHeight="1">
      <c r="A270" s="998" t="s">
        <v>677</v>
      </c>
      <c r="B270" s="20" t="s">
        <v>636</v>
      </c>
      <c r="C270" s="26" t="s">
        <v>94</v>
      </c>
      <c r="D270" s="245">
        <v>40000</v>
      </c>
      <c r="E270" s="863"/>
      <c r="F270" s="863"/>
      <c r="G270" s="868">
        <v>40000</v>
      </c>
      <c r="H270" s="245"/>
      <c r="I270" s="863"/>
      <c r="J270" s="863"/>
      <c r="K270" s="868"/>
      <c r="L270" s="695"/>
      <c r="M270" s="867"/>
      <c r="N270" s="863"/>
      <c r="O270" s="863"/>
      <c r="P270" s="868"/>
      <c r="Q270" s="705"/>
      <c r="R270" s="867"/>
      <c r="S270" s="863"/>
      <c r="T270" s="863"/>
      <c r="U270" s="868"/>
    </row>
    <row r="271" spans="1:21" ht="36" customHeight="1">
      <c r="A271" s="998" t="s">
        <v>711</v>
      </c>
      <c r="B271" s="20" t="s">
        <v>637</v>
      </c>
      <c r="C271" s="26" t="s">
        <v>94</v>
      </c>
      <c r="D271" s="245">
        <v>2000</v>
      </c>
      <c r="E271" s="863"/>
      <c r="F271" s="863"/>
      <c r="G271" s="868">
        <v>2000</v>
      </c>
      <c r="H271" s="245"/>
      <c r="I271" s="863"/>
      <c r="J271" s="863"/>
      <c r="K271" s="868"/>
      <c r="L271" s="695"/>
      <c r="M271" s="867"/>
      <c r="N271" s="863"/>
      <c r="O271" s="863"/>
      <c r="P271" s="868"/>
      <c r="Q271" s="705"/>
      <c r="R271" s="867"/>
      <c r="S271" s="863"/>
      <c r="T271" s="863"/>
      <c r="U271" s="868"/>
    </row>
    <row r="272" spans="1:21" ht="36" customHeight="1">
      <c r="A272" s="18" t="s">
        <v>712</v>
      </c>
      <c r="B272" s="20" t="s">
        <v>726</v>
      </c>
      <c r="C272" s="26" t="s">
        <v>94</v>
      </c>
      <c r="D272" s="1027">
        <v>3000</v>
      </c>
      <c r="E272" s="1004">
        <v>3000</v>
      </c>
      <c r="F272" s="1004"/>
      <c r="G272" s="1003"/>
      <c r="H272" s="1005"/>
      <c r="I272" s="1004"/>
      <c r="J272" s="1004"/>
      <c r="K272" s="1003"/>
      <c r="L272" s="1007"/>
      <c r="M272" s="1006"/>
      <c r="N272" s="1004"/>
      <c r="O272" s="1004"/>
      <c r="P272" s="1003"/>
      <c r="Q272" s="1008"/>
      <c r="R272" s="1006"/>
      <c r="S272" s="1004"/>
      <c r="T272" s="1004"/>
      <c r="U272" s="1003"/>
    </row>
    <row r="273" spans="1:21" ht="24" customHeight="1" thickBot="1">
      <c r="A273" s="769" t="s">
        <v>725</v>
      </c>
      <c r="B273" s="917" t="s">
        <v>557</v>
      </c>
      <c r="C273" s="145" t="s">
        <v>94</v>
      </c>
      <c r="D273" s="495">
        <v>59000</v>
      </c>
      <c r="E273" s="240"/>
      <c r="F273" s="240"/>
      <c r="G273" s="251">
        <v>59000</v>
      </c>
      <c r="H273" s="495"/>
      <c r="I273" s="240"/>
      <c r="J273" s="240"/>
      <c r="K273" s="251"/>
      <c r="L273" s="918"/>
      <c r="M273" s="408"/>
      <c r="N273" s="240"/>
      <c r="O273" s="240"/>
      <c r="P273" s="251"/>
      <c r="Q273" s="919"/>
      <c r="R273" s="408"/>
      <c r="S273" s="240"/>
      <c r="T273" s="240"/>
      <c r="U273" s="251"/>
    </row>
    <row r="274" spans="1:21" ht="42" customHeight="1">
      <c r="A274" s="1000" t="s">
        <v>713</v>
      </c>
      <c r="B274" s="908" t="s">
        <v>578</v>
      </c>
      <c r="C274" s="909" t="s">
        <v>91</v>
      </c>
      <c r="D274" s="910">
        <f>SUM(D275:D278)</f>
        <v>2000</v>
      </c>
      <c r="E274" s="911">
        <f>SUM(E275:E278)</f>
        <v>0</v>
      </c>
      <c r="F274" s="911">
        <f>SUM(F275:F278)</f>
        <v>0</v>
      </c>
      <c r="G274" s="912">
        <f>SUM(G275:G278)</f>
        <v>2000</v>
      </c>
      <c r="H274" s="866"/>
      <c r="I274" s="862"/>
      <c r="J274" s="862"/>
      <c r="K274" s="857"/>
      <c r="L274" s="913"/>
      <c r="M274" s="870"/>
      <c r="N274" s="862"/>
      <c r="O274" s="862"/>
      <c r="P274" s="857"/>
      <c r="Q274" s="914"/>
      <c r="R274" s="870"/>
      <c r="S274" s="862"/>
      <c r="T274" s="862"/>
      <c r="U274" s="857"/>
    </row>
    <row r="275" spans="1:21" ht="31.5" customHeight="1" thickBot="1">
      <c r="A275" s="998" t="s">
        <v>714</v>
      </c>
      <c r="B275" s="793" t="s">
        <v>635</v>
      </c>
      <c r="C275" s="146" t="s">
        <v>91</v>
      </c>
      <c r="D275" s="660">
        <v>2000</v>
      </c>
      <c r="E275" s="659"/>
      <c r="F275" s="82"/>
      <c r="G275" s="84">
        <f>+D275</f>
        <v>2000</v>
      </c>
      <c r="H275" s="246"/>
      <c r="I275" s="239"/>
      <c r="J275" s="239"/>
      <c r="K275" s="247"/>
      <c r="L275" s="364"/>
      <c r="M275" s="238"/>
      <c r="N275" s="239"/>
      <c r="O275" s="239"/>
      <c r="P275" s="247"/>
      <c r="Q275" s="58"/>
      <c r="R275" s="238"/>
      <c r="S275" s="239"/>
      <c r="T275" s="239"/>
      <c r="U275" s="247"/>
    </row>
    <row r="276" spans="1:21" ht="15" hidden="1" customHeight="1">
      <c r="A276" s="657" t="s">
        <v>318</v>
      </c>
      <c r="B276" s="658"/>
      <c r="C276" s="146" t="s">
        <v>91</v>
      </c>
      <c r="D276" s="87"/>
      <c r="E276" s="659"/>
      <c r="F276" s="82"/>
      <c r="G276" s="84"/>
      <c r="H276" s="246"/>
      <c r="I276" s="239"/>
      <c r="J276" s="239"/>
      <c r="K276" s="247"/>
      <c r="L276" s="364"/>
      <c r="M276" s="238"/>
      <c r="N276" s="239"/>
      <c r="O276" s="239"/>
      <c r="P276" s="247"/>
      <c r="Q276" s="58"/>
      <c r="R276" s="238"/>
      <c r="S276" s="239"/>
      <c r="T276" s="239"/>
      <c r="U276" s="247"/>
    </row>
    <row r="277" spans="1:21" ht="27.75" hidden="1" customHeight="1">
      <c r="A277" s="657" t="s">
        <v>350</v>
      </c>
      <c r="B277" s="658"/>
      <c r="C277" s="147" t="s">
        <v>91</v>
      </c>
      <c r="D277" s="248"/>
      <c r="E277" s="659"/>
      <c r="F277" s="249"/>
      <c r="G277" s="250"/>
      <c r="H277" s="246"/>
      <c r="I277" s="239"/>
      <c r="J277" s="239"/>
      <c r="K277" s="247"/>
      <c r="L277" s="364"/>
      <c r="M277" s="238"/>
      <c r="N277" s="239"/>
      <c r="O277" s="239"/>
      <c r="P277" s="247"/>
      <c r="Q277" s="58"/>
      <c r="R277" s="238"/>
      <c r="S277" s="239"/>
      <c r="T277" s="239"/>
      <c r="U277" s="247"/>
    </row>
    <row r="278" spans="1:21" ht="26.25" hidden="1" customHeight="1" thickBot="1">
      <c r="A278" s="18" t="s">
        <v>351</v>
      </c>
      <c r="B278" s="840"/>
      <c r="C278" s="148" t="s">
        <v>91</v>
      </c>
      <c r="D278" s="841"/>
      <c r="E278" s="809"/>
      <c r="F278" s="809"/>
      <c r="G278" s="811"/>
      <c r="H278" s="246"/>
      <c r="I278" s="239"/>
      <c r="J278" s="239"/>
      <c r="K278" s="247"/>
      <c r="L278" s="364"/>
      <c r="M278" s="238"/>
      <c r="N278" s="239"/>
      <c r="O278" s="239"/>
      <c r="P278" s="247"/>
      <c r="Q278" s="59"/>
      <c r="R278" s="238"/>
      <c r="S278" s="239"/>
      <c r="T278" s="239"/>
      <c r="U278" s="247"/>
    </row>
    <row r="279" spans="1:21" ht="57.75" thickBot="1">
      <c r="A279" s="17" t="s">
        <v>123</v>
      </c>
      <c r="B279" s="22" t="s">
        <v>644</v>
      </c>
      <c r="C279" s="560" t="s">
        <v>91</v>
      </c>
      <c r="D279" s="842">
        <f>SUM(D294,D281,D309,D317,D322,D325,D291)</f>
        <v>1903095</v>
      </c>
      <c r="E279" s="842">
        <f>SUM(E294,E281,E309,E317,E322,E325,E291)</f>
        <v>1898765</v>
      </c>
      <c r="F279" s="842">
        <f>SUM(F294,F281,F309,F317,F322,F325,F291)</f>
        <v>1459883</v>
      </c>
      <c r="G279" s="920">
        <f>SUM(G294,G281,G309,G317,G322,G325,G291)</f>
        <v>4330</v>
      </c>
      <c r="H279" s="562">
        <f t="shared" ref="H279:U279" si="26">SUM(H294,H281,H309,H317,H322,H325)</f>
        <v>0</v>
      </c>
      <c r="I279" s="842">
        <f t="shared" si="26"/>
        <v>0</v>
      </c>
      <c r="J279" s="842">
        <f t="shared" si="26"/>
        <v>0</v>
      </c>
      <c r="K279" s="843">
        <f t="shared" si="26"/>
        <v>0</v>
      </c>
      <c r="L279" s="920">
        <f t="shared" si="26"/>
        <v>0</v>
      </c>
      <c r="M279" s="562">
        <f t="shared" si="26"/>
        <v>64426</v>
      </c>
      <c r="N279" s="842">
        <f t="shared" si="26"/>
        <v>64426</v>
      </c>
      <c r="O279" s="842">
        <f t="shared" si="26"/>
        <v>27601</v>
      </c>
      <c r="P279" s="843">
        <f t="shared" si="26"/>
        <v>0</v>
      </c>
      <c r="Q279" s="920">
        <f t="shared" si="26"/>
        <v>0</v>
      </c>
      <c r="R279" s="562">
        <f t="shared" si="26"/>
        <v>21500</v>
      </c>
      <c r="S279" s="842">
        <f t="shared" si="26"/>
        <v>21500</v>
      </c>
      <c r="T279" s="842">
        <f t="shared" si="26"/>
        <v>0</v>
      </c>
      <c r="U279" s="843">
        <f t="shared" si="26"/>
        <v>0</v>
      </c>
    </row>
    <row r="280" spans="1:21">
      <c r="A280" s="41"/>
      <c r="B280" s="426" t="s">
        <v>122</v>
      </c>
      <c r="C280" s="427"/>
      <c r="D280" s="338"/>
      <c r="E280" s="336"/>
      <c r="F280" s="336"/>
      <c r="G280" s="337"/>
      <c r="H280" s="338"/>
      <c r="I280" s="336"/>
      <c r="J280" s="336"/>
      <c r="K280" s="337"/>
      <c r="L280" s="376"/>
      <c r="M280" s="338"/>
      <c r="N280" s="336"/>
      <c r="O280" s="336"/>
      <c r="P280" s="337"/>
      <c r="Q280" s="61"/>
      <c r="R280" s="338"/>
      <c r="S280" s="336"/>
      <c r="T280" s="336"/>
      <c r="U280" s="339"/>
    </row>
    <row r="281" spans="1:21" ht="21">
      <c r="A281" s="397"/>
      <c r="B281" s="611" t="s">
        <v>101</v>
      </c>
      <c r="C281" s="47" t="s">
        <v>91</v>
      </c>
      <c r="D281" s="182">
        <f>SUM(D283,D285,D290)</f>
        <v>1694282</v>
      </c>
      <c r="E281" s="180">
        <f>SUM(E283,E285,E290)</f>
        <v>1689952</v>
      </c>
      <c r="F281" s="180">
        <f>SUM(F283,F285,F290)</f>
        <v>1459883</v>
      </c>
      <c r="G281" s="181">
        <f>SUM(G283,G285,G290)</f>
        <v>4330</v>
      </c>
      <c r="H281" s="182">
        <f>SUM(H283:H290)</f>
        <v>0</v>
      </c>
      <c r="I281" s="180">
        <f>SUM(I283:I290)</f>
        <v>0</v>
      </c>
      <c r="J281" s="180">
        <f>SUM(J283:J290)</f>
        <v>0</v>
      </c>
      <c r="K281" s="181">
        <f>SUM(K283:K290)</f>
        <v>0</v>
      </c>
      <c r="L281" s="357"/>
      <c r="M281" s="182">
        <f>SUM(M283:M290)</f>
        <v>64426</v>
      </c>
      <c r="N281" s="180">
        <f>SUM(N283:N290)</f>
        <v>64426</v>
      </c>
      <c r="O281" s="180">
        <f>SUM(O283:O290)</f>
        <v>27601</v>
      </c>
      <c r="P281" s="181">
        <f>SUM(P283:P290)</f>
        <v>0</v>
      </c>
      <c r="Q281" s="53"/>
      <c r="R281" s="182">
        <f>SUM(R283:R290)</f>
        <v>21500</v>
      </c>
      <c r="S281" s="180">
        <f>SUM(S283:S290)</f>
        <v>21500</v>
      </c>
      <c r="T281" s="180">
        <f>SUM(T283:T290)</f>
        <v>0</v>
      </c>
      <c r="U281" s="183">
        <f>SUM(U283:U290)</f>
        <v>0</v>
      </c>
    </row>
    <row r="282" spans="1:21">
      <c r="A282" s="397"/>
      <c r="B282" s="383" t="s">
        <v>18</v>
      </c>
      <c r="C282" s="428"/>
      <c r="D282" s="254"/>
      <c r="E282" s="252"/>
      <c r="F282" s="252"/>
      <c r="G282" s="253"/>
      <c r="H282" s="254"/>
      <c r="I282" s="252"/>
      <c r="J282" s="252"/>
      <c r="K282" s="253"/>
      <c r="L282" s="379"/>
      <c r="M282" s="254"/>
      <c r="N282" s="252"/>
      <c r="O282" s="252"/>
      <c r="P282" s="253"/>
      <c r="Q282" s="414"/>
      <c r="R282" s="254"/>
      <c r="S282" s="252"/>
      <c r="T282" s="252"/>
      <c r="U282" s="255"/>
    </row>
    <row r="283" spans="1:21" ht="12" customHeight="1">
      <c r="A283" s="1173" t="s">
        <v>120</v>
      </c>
      <c r="B283" s="1220" t="s">
        <v>100</v>
      </c>
      <c r="C283" s="1131" t="s">
        <v>91</v>
      </c>
      <c r="D283" s="1152">
        <f>751890+15333</f>
        <v>767223</v>
      </c>
      <c r="E283" s="1132">
        <f>D283-G283</f>
        <v>767223</v>
      </c>
      <c r="F283" s="1150">
        <v>660500</v>
      </c>
      <c r="G283" s="1151"/>
      <c r="H283" s="1144"/>
      <c r="I283" s="1145"/>
      <c r="J283" s="1145"/>
      <c r="K283" s="1164"/>
      <c r="L283" s="1217" t="s">
        <v>483</v>
      </c>
      <c r="M283" s="1144">
        <v>14067</v>
      </c>
      <c r="N283" s="1145">
        <f>+M283</f>
        <v>14067</v>
      </c>
      <c r="O283" s="1145">
        <v>13867</v>
      </c>
      <c r="P283" s="1164" t="s">
        <v>313</v>
      </c>
      <c r="Q283" s="415">
        <v>11011</v>
      </c>
      <c r="R283" s="328">
        <v>10900</v>
      </c>
      <c r="S283" s="395">
        <v>10900</v>
      </c>
      <c r="T283" s="395"/>
      <c r="U283" s="396"/>
    </row>
    <row r="284" spans="1:21">
      <c r="A284" s="1173"/>
      <c r="B284" s="1220"/>
      <c r="C284" s="1131"/>
      <c r="D284" s="1152"/>
      <c r="E284" s="1132"/>
      <c r="F284" s="1150"/>
      <c r="G284" s="1151"/>
      <c r="H284" s="1144"/>
      <c r="I284" s="1145"/>
      <c r="J284" s="1145"/>
      <c r="K284" s="1164"/>
      <c r="L284" s="1217"/>
      <c r="M284" s="1144"/>
      <c r="N284" s="1145"/>
      <c r="O284" s="1145"/>
      <c r="P284" s="1164"/>
      <c r="Q284" s="415">
        <v>11013</v>
      </c>
      <c r="R284" s="256">
        <v>3800</v>
      </c>
      <c r="S284" s="163">
        <v>3800</v>
      </c>
      <c r="T284" s="395"/>
      <c r="U284" s="396"/>
    </row>
    <row r="285" spans="1:21">
      <c r="A285" s="1173" t="s">
        <v>119</v>
      </c>
      <c r="B285" s="1130" t="s">
        <v>465</v>
      </c>
      <c r="C285" s="1131" t="s">
        <v>91</v>
      </c>
      <c r="D285" s="1152">
        <f>633410+D288+10362</f>
        <v>649772</v>
      </c>
      <c r="E285" s="1148">
        <f>D285-G285</f>
        <v>646092</v>
      </c>
      <c r="F285" s="1150">
        <v>560000</v>
      </c>
      <c r="G285" s="1154">
        <v>3680</v>
      </c>
      <c r="H285" s="1144"/>
      <c r="I285" s="1145"/>
      <c r="J285" s="1145"/>
      <c r="K285" s="1164"/>
      <c r="L285" s="1217" t="s">
        <v>483</v>
      </c>
      <c r="M285" s="1144">
        <v>10551</v>
      </c>
      <c r="N285" s="1145">
        <f>+M285</f>
        <v>10551</v>
      </c>
      <c r="O285" s="1145">
        <v>10400</v>
      </c>
      <c r="P285" s="1164"/>
      <c r="Q285" s="415">
        <v>11011</v>
      </c>
      <c r="R285" s="328">
        <v>2800</v>
      </c>
      <c r="S285" s="395">
        <v>2800</v>
      </c>
      <c r="T285" s="395"/>
      <c r="U285" s="396"/>
    </row>
    <row r="286" spans="1:21">
      <c r="A286" s="1173"/>
      <c r="B286" s="1130"/>
      <c r="C286" s="1131"/>
      <c r="D286" s="1152"/>
      <c r="E286" s="1148"/>
      <c r="F286" s="1150"/>
      <c r="G286" s="1154"/>
      <c r="H286" s="1144"/>
      <c r="I286" s="1145"/>
      <c r="J286" s="1145"/>
      <c r="K286" s="1164"/>
      <c r="L286" s="1217"/>
      <c r="M286" s="1144"/>
      <c r="N286" s="1145"/>
      <c r="O286" s="1145"/>
      <c r="P286" s="1164"/>
      <c r="Q286" s="415">
        <v>11013</v>
      </c>
      <c r="R286" s="328">
        <v>1500</v>
      </c>
      <c r="S286" s="395">
        <v>1500</v>
      </c>
      <c r="T286" s="395"/>
      <c r="U286" s="396"/>
    </row>
    <row r="287" spans="1:21">
      <c r="A287" s="120"/>
      <c r="B287" s="20" t="s">
        <v>10</v>
      </c>
      <c r="C287" s="394"/>
      <c r="D287" s="328"/>
      <c r="E287" s="395"/>
      <c r="F287" s="723"/>
      <c r="G287" s="398"/>
      <c r="H287" s="328"/>
      <c r="I287" s="395"/>
      <c r="J287" s="395"/>
      <c r="K287" s="398"/>
      <c r="L287" s="409"/>
      <c r="M287" s="328"/>
      <c r="N287" s="395"/>
      <c r="O287" s="395"/>
      <c r="P287" s="398"/>
      <c r="Q287" s="415"/>
      <c r="R287" s="328"/>
      <c r="S287" s="395"/>
      <c r="T287" s="395"/>
      <c r="U287" s="396"/>
    </row>
    <row r="288" spans="1:21" ht="22.5">
      <c r="A288" s="120" t="s">
        <v>354</v>
      </c>
      <c r="B288" s="20" t="s">
        <v>399</v>
      </c>
      <c r="C288" s="394"/>
      <c r="D288" s="328">
        <v>6000</v>
      </c>
      <c r="E288" s="395">
        <f>+D288</f>
        <v>6000</v>
      </c>
      <c r="F288" s="723"/>
      <c r="G288" s="398"/>
      <c r="H288" s="328"/>
      <c r="I288" s="395"/>
      <c r="J288" s="395"/>
      <c r="K288" s="398"/>
      <c r="L288" s="409"/>
      <c r="M288" s="328"/>
      <c r="N288" s="395"/>
      <c r="O288" s="395"/>
      <c r="P288" s="398"/>
      <c r="Q288" s="415"/>
      <c r="R288" s="328"/>
      <c r="S288" s="395"/>
      <c r="T288" s="395"/>
      <c r="U288" s="396"/>
    </row>
    <row r="289" spans="1:21" ht="38.25" customHeight="1">
      <c r="A289" s="65" t="s">
        <v>728</v>
      </c>
      <c r="B289" s="931" t="s">
        <v>727</v>
      </c>
      <c r="C289" s="1090"/>
      <c r="D289" s="550"/>
      <c r="E289" s="551"/>
      <c r="F289" s="1091"/>
      <c r="G289" s="212"/>
      <c r="H289" s="550"/>
      <c r="I289" s="551"/>
      <c r="J289" s="551"/>
      <c r="K289" s="212"/>
      <c r="L289" s="1092" t="s">
        <v>483</v>
      </c>
      <c r="M289" s="550">
        <v>36426</v>
      </c>
      <c r="N289" s="551">
        <v>36426</v>
      </c>
      <c r="O289" s="551"/>
      <c r="P289" s="212"/>
      <c r="Q289" s="1093"/>
      <c r="R289" s="550"/>
      <c r="S289" s="551"/>
      <c r="T289" s="551"/>
      <c r="U289" s="1074"/>
    </row>
    <row r="290" spans="1:21" ht="23.25" customHeight="1" thickBot="1">
      <c r="A290" s="124" t="s">
        <v>118</v>
      </c>
      <c r="B290" s="442" t="s">
        <v>99</v>
      </c>
      <c r="C290" s="98" t="s">
        <v>91</v>
      </c>
      <c r="D290" s="864">
        <f>274000+3287</f>
        <v>277287</v>
      </c>
      <c r="E290" s="859">
        <f>D290-G290</f>
        <v>276637</v>
      </c>
      <c r="F290" s="921">
        <f>239000+383</f>
        <v>239383</v>
      </c>
      <c r="G290" s="922">
        <v>650</v>
      </c>
      <c r="H290" s="302"/>
      <c r="I290" s="303"/>
      <c r="J290" s="303"/>
      <c r="K290" s="304"/>
      <c r="L290" s="444" t="s">
        <v>483</v>
      </c>
      <c r="M290" s="302">
        <v>3382</v>
      </c>
      <c r="N290" s="303">
        <f>+M290</f>
        <v>3382</v>
      </c>
      <c r="O290" s="303">
        <v>3334</v>
      </c>
      <c r="P290" s="304"/>
      <c r="Q290" s="445">
        <v>11013</v>
      </c>
      <c r="R290" s="302">
        <v>2500</v>
      </c>
      <c r="S290" s="303">
        <v>2500</v>
      </c>
      <c r="T290" s="303"/>
      <c r="U290" s="305"/>
    </row>
    <row r="291" spans="1:21" ht="36" customHeight="1">
      <c r="A291" s="823" t="s">
        <v>662</v>
      </c>
      <c r="B291" s="107" t="s">
        <v>460</v>
      </c>
      <c r="C291" s="114"/>
      <c r="D291" s="923">
        <f>SUM(D292:D293)</f>
        <v>5000</v>
      </c>
      <c r="E291" s="924">
        <f>SUM(E292:E293)</f>
        <v>5000</v>
      </c>
      <c r="F291" s="924">
        <f t="shared" ref="F291:G291" si="27">SUM(F293)</f>
        <v>0</v>
      </c>
      <c r="G291" s="925">
        <f t="shared" si="27"/>
        <v>0</v>
      </c>
      <c r="H291" s="282"/>
      <c r="I291" s="282">
        <f t="shared" ref="I291:U291" si="28">SUM(I293:I293)</f>
        <v>0</v>
      </c>
      <c r="J291" s="282">
        <f t="shared" si="28"/>
        <v>0</v>
      </c>
      <c r="K291" s="283">
        <f t="shared" si="28"/>
        <v>0</v>
      </c>
      <c r="L291" s="369">
        <f t="shared" si="28"/>
        <v>0</v>
      </c>
      <c r="M291" s="282">
        <f t="shared" si="28"/>
        <v>0</v>
      </c>
      <c r="N291" s="282">
        <f t="shared" si="28"/>
        <v>0</v>
      </c>
      <c r="O291" s="282">
        <f t="shared" si="28"/>
        <v>0</v>
      </c>
      <c r="P291" s="283">
        <f t="shared" si="28"/>
        <v>0</v>
      </c>
      <c r="Q291" s="60">
        <f t="shared" si="28"/>
        <v>0</v>
      </c>
      <c r="R291" s="281">
        <f t="shared" si="28"/>
        <v>0</v>
      </c>
      <c r="S291" s="282">
        <f t="shared" si="28"/>
        <v>0</v>
      </c>
      <c r="T291" s="282">
        <f t="shared" si="28"/>
        <v>0</v>
      </c>
      <c r="U291" s="284">
        <f t="shared" si="28"/>
        <v>0</v>
      </c>
    </row>
    <row r="292" spans="1:21" ht="24" customHeight="1">
      <c r="A292" s="1089" t="s">
        <v>663</v>
      </c>
      <c r="B292" s="726" t="s">
        <v>488</v>
      </c>
      <c r="C292" s="1088" t="s">
        <v>91</v>
      </c>
      <c r="D292" s="867">
        <v>2000</v>
      </c>
      <c r="E292" s="232">
        <f>+D292</f>
        <v>2000</v>
      </c>
      <c r="F292" s="285"/>
      <c r="G292" s="868"/>
      <c r="H292" s="245"/>
      <c r="I292" s="796"/>
      <c r="J292" s="285"/>
      <c r="K292" s="227"/>
      <c r="L292" s="370"/>
      <c r="M292" s="245"/>
      <c r="N292" s="796"/>
      <c r="O292" s="285"/>
      <c r="P292" s="227"/>
      <c r="Q292" s="54"/>
      <c r="R292" s="788"/>
      <c r="S292" s="796"/>
      <c r="T292" s="285"/>
      <c r="U292" s="790"/>
    </row>
    <row r="293" spans="1:21" ht="19.5" customHeight="1" thickBot="1">
      <c r="A293" s="1089" t="s">
        <v>736</v>
      </c>
      <c r="B293" s="108" t="s">
        <v>93</v>
      </c>
      <c r="C293" s="725" t="s">
        <v>89</v>
      </c>
      <c r="D293" s="869">
        <v>3000</v>
      </c>
      <c r="E293" s="861">
        <f>+D293</f>
        <v>3000</v>
      </c>
      <c r="F293" s="861"/>
      <c r="G293" s="856"/>
      <c r="H293" s="245"/>
      <c r="I293" s="226"/>
      <c r="J293" s="226"/>
      <c r="K293" s="227"/>
      <c r="L293" s="370"/>
      <c r="M293" s="245"/>
      <c r="N293" s="226"/>
      <c r="O293" s="226"/>
      <c r="P293" s="227"/>
      <c r="Q293" s="54"/>
      <c r="R293" s="225"/>
      <c r="S293" s="226"/>
      <c r="T293" s="226"/>
      <c r="U293" s="228"/>
    </row>
    <row r="294" spans="1:21" ht="20.25" customHeight="1">
      <c r="A294" s="41"/>
      <c r="B294" s="46" t="s">
        <v>121</v>
      </c>
      <c r="C294" s="427"/>
      <c r="D294" s="338">
        <f>SUM(D296,D304,D306,D307,D308)</f>
        <v>203813</v>
      </c>
      <c r="E294" s="336">
        <f>SUM(E296,E304,E306,E307,E308)</f>
        <v>203813</v>
      </c>
      <c r="F294" s="336">
        <f>SUM(F296,F304,F306,F307,F308)</f>
        <v>0</v>
      </c>
      <c r="G294" s="339">
        <f>SUM(G296,G304,G306,G307,G308)</f>
        <v>0</v>
      </c>
      <c r="H294" s="926">
        <f>SUM(H296:H304,H306:H308)</f>
        <v>0</v>
      </c>
      <c r="I294" s="336">
        <f>SUM(I296:I304,I306:I308)</f>
        <v>0</v>
      </c>
      <c r="J294" s="336">
        <f>SUM(J296:J304,J306:J308)</f>
        <v>0</v>
      </c>
      <c r="K294" s="337">
        <f>SUM(K296:K304,K306:K308)</f>
        <v>0</v>
      </c>
      <c r="L294" s="376"/>
      <c r="M294" s="338">
        <f>SUM(M296:M304,M306:M308)</f>
        <v>0</v>
      </c>
      <c r="N294" s="336">
        <f>SUM(N296:N304,N306:N308)</f>
        <v>0</v>
      </c>
      <c r="O294" s="336">
        <f>SUM(O296:O304,O306:O308)</f>
        <v>0</v>
      </c>
      <c r="P294" s="337">
        <f>SUM(P296:P304,P306:P308)</f>
        <v>0</v>
      </c>
      <c r="Q294" s="61"/>
      <c r="R294" s="338">
        <f>SUM(R296:R304,R306:R308)</f>
        <v>0</v>
      </c>
      <c r="S294" s="336">
        <f>SUM(S296:S304,S306:S308)</f>
        <v>0</v>
      </c>
      <c r="T294" s="336">
        <f>SUM(T296:T304,T306:T308)</f>
        <v>0</v>
      </c>
      <c r="U294" s="339">
        <f>SUM(U296:U304,U306:U308)</f>
        <v>0</v>
      </c>
    </row>
    <row r="295" spans="1:21">
      <c r="A295" s="519"/>
      <c r="B295" s="20" t="s">
        <v>117</v>
      </c>
      <c r="C295" s="404"/>
      <c r="D295" s="261"/>
      <c r="E295" s="262"/>
      <c r="F295" s="262"/>
      <c r="G295" s="263"/>
      <c r="H295" s="927"/>
      <c r="I295" s="262"/>
      <c r="J295" s="262"/>
      <c r="K295" s="264"/>
      <c r="L295" s="353"/>
      <c r="M295" s="261"/>
      <c r="N295" s="262"/>
      <c r="O295" s="262"/>
      <c r="P295" s="264"/>
      <c r="Q295" s="50"/>
      <c r="R295" s="261"/>
      <c r="S295" s="262"/>
      <c r="T295" s="262"/>
      <c r="U295" s="263"/>
    </row>
    <row r="296" spans="1:21" ht="47.25" customHeight="1">
      <c r="A296" s="512" t="s">
        <v>179</v>
      </c>
      <c r="B296" s="21" t="s">
        <v>574</v>
      </c>
      <c r="C296" s="404" t="s">
        <v>91</v>
      </c>
      <c r="D296" s="83">
        <f>SUM(D297:D303)</f>
        <v>123448</v>
      </c>
      <c r="E296" s="82">
        <f>SUM(E297:E303)</f>
        <v>123448</v>
      </c>
      <c r="F296" s="82">
        <f>SUM(F297:F303)</f>
        <v>0</v>
      </c>
      <c r="G296" s="84">
        <f>SUM(G297:G303)</f>
        <v>0</v>
      </c>
      <c r="H296" s="245"/>
      <c r="I296" s="518"/>
      <c r="J296" s="223"/>
      <c r="K296" s="86"/>
      <c r="L296" s="353"/>
      <c r="M296" s="516"/>
      <c r="N296" s="518"/>
      <c r="O296" s="223"/>
      <c r="P296" s="86"/>
      <c r="Q296" s="50"/>
      <c r="R296" s="516"/>
      <c r="S296" s="518"/>
      <c r="T296" s="223"/>
      <c r="U296" s="88"/>
    </row>
    <row r="297" spans="1:21" ht="18.75" customHeight="1">
      <c r="A297" s="823" t="s">
        <v>470</v>
      </c>
      <c r="B297" s="383" t="s">
        <v>639</v>
      </c>
      <c r="C297" s="514" t="s">
        <v>91</v>
      </c>
      <c r="D297" s="87">
        <v>1000</v>
      </c>
      <c r="E297" s="232">
        <f>+D297</f>
        <v>1000</v>
      </c>
      <c r="F297" s="863"/>
      <c r="G297" s="868"/>
      <c r="H297" s="245"/>
      <c r="I297" s="518"/>
      <c r="J297" s="518"/>
      <c r="K297" s="227"/>
      <c r="L297" s="437"/>
      <c r="M297" s="516"/>
      <c r="N297" s="518"/>
      <c r="O297" s="518"/>
      <c r="P297" s="227"/>
      <c r="Q297" s="440"/>
      <c r="R297" s="516"/>
      <c r="S297" s="518"/>
      <c r="T297" s="518"/>
      <c r="U297" s="517"/>
    </row>
    <row r="298" spans="1:21" ht="26.25" customHeight="1">
      <c r="A298" s="823" t="s">
        <v>471</v>
      </c>
      <c r="B298" s="20" t="s">
        <v>559</v>
      </c>
      <c r="C298" s="1086" t="s">
        <v>91</v>
      </c>
      <c r="D298" s="867">
        <v>26448</v>
      </c>
      <c r="E298" s="232">
        <f t="shared" ref="E298:E333" si="29">+D298</f>
        <v>26448</v>
      </c>
      <c r="F298" s="863"/>
      <c r="G298" s="868"/>
      <c r="H298" s="245"/>
      <c r="I298" s="639"/>
      <c r="J298" s="639"/>
      <c r="K298" s="227"/>
      <c r="L298" s="437"/>
      <c r="M298" s="641"/>
      <c r="N298" s="639"/>
      <c r="O298" s="639"/>
      <c r="P298" s="227"/>
      <c r="Q298" s="440"/>
      <c r="R298" s="641"/>
      <c r="S298" s="639"/>
      <c r="T298" s="639"/>
      <c r="U298" s="642"/>
    </row>
    <row r="299" spans="1:21" ht="33.75" customHeight="1">
      <c r="A299" s="823" t="s">
        <v>664</v>
      </c>
      <c r="B299" s="108" t="s">
        <v>394</v>
      </c>
      <c r="C299" s="725" t="s">
        <v>89</v>
      </c>
      <c r="D299" s="867">
        <v>15000</v>
      </c>
      <c r="E299" s="232">
        <f t="shared" si="29"/>
        <v>15000</v>
      </c>
      <c r="F299" s="285"/>
      <c r="G299" s="868"/>
      <c r="H299" s="245"/>
      <c r="I299" s="226"/>
      <c r="J299" s="285"/>
      <c r="K299" s="227"/>
      <c r="L299" s="370"/>
      <c r="M299" s="245"/>
      <c r="N299" s="226"/>
      <c r="O299" s="285"/>
      <c r="P299" s="227"/>
      <c r="Q299" s="54"/>
      <c r="R299" s="225"/>
      <c r="S299" s="226"/>
      <c r="T299" s="285"/>
      <c r="U299" s="228"/>
    </row>
    <row r="300" spans="1:21" ht="36" customHeight="1">
      <c r="A300" s="120" t="s">
        <v>665</v>
      </c>
      <c r="B300" s="108" t="s">
        <v>400</v>
      </c>
      <c r="C300" s="106" t="s">
        <v>91</v>
      </c>
      <c r="D300" s="653">
        <v>1000</v>
      </c>
      <c r="E300" s="232">
        <f t="shared" si="29"/>
        <v>1000</v>
      </c>
      <c r="F300" s="852"/>
      <c r="G300" s="279"/>
      <c r="H300" s="276"/>
      <c r="I300" s="321"/>
      <c r="J300" s="321"/>
      <c r="K300" s="278"/>
      <c r="L300" s="363"/>
      <c r="M300" s="276"/>
      <c r="N300" s="277"/>
      <c r="O300" s="277"/>
      <c r="P300" s="278"/>
      <c r="Q300" s="126"/>
      <c r="R300" s="323"/>
      <c r="S300" s="321"/>
      <c r="T300" s="321"/>
      <c r="U300" s="322"/>
    </row>
    <row r="301" spans="1:21" ht="22.5" customHeight="1">
      <c r="A301" s="1089" t="s">
        <v>666</v>
      </c>
      <c r="B301" s="108" t="s">
        <v>489</v>
      </c>
      <c r="C301" s="725" t="s">
        <v>89</v>
      </c>
      <c r="D301" s="867">
        <v>70000</v>
      </c>
      <c r="E301" s="232">
        <f t="shared" si="29"/>
        <v>70000</v>
      </c>
      <c r="F301" s="863"/>
      <c r="G301" s="868"/>
      <c r="H301" s="245"/>
      <c r="I301" s="226"/>
      <c r="J301" s="226"/>
      <c r="K301" s="227"/>
      <c r="L301" s="370"/>
      <c r="M301" s="245"/>
      <c r="N301" s="226"/>
      <c r="O301" s="226"/>
      <c r="P301" s="227"/>
      <c r="Q301" s="54"/>
      <c r="R301" s="225"/>
      <c r="S301" s="226"/>
      <c r="T301" s="226"/>
      <c r="U301" s="228"/>
    </row>
    <row r="302" spans="1:21" ht="33.75" customHeight="1">
      <c r="A302" s="1089" t="s">
        <v>472</v>
      </c>
      <c r="B302" s="108" t="s">
        <v>641</v>
      </c>
      <c r="C302" s="725"/>
      <c r="D302" s="867">
        <v>5000</v>
      </c>
      <c r="E302" s="232">
        <f t="shared" si="29"/>
        <v>5000</v>
      </c>
      <c r="F302" s="285"/>
      <c r="G302" s="868"/>
      <c r="H302" s="245"/>
      <c r="I302" s="639"/>
      <c r="J302" s="285"/>
      <c r="K302" s="227"/>
      <c r="L302" s="370"/>
      <c r="M302" s="245"/>
      <c r="N302" s="639"/>
      <c r="O302" s="285"/>
      <c r="P302" s="227"/>
      <c r="Q302" s="54"/>
      <c r="R302" s="641"/>
      <c r="S302" s="639"/>
      <c r="T302" s="285"/>
      <c r="U302" s="642"/>
    </row>
    <row r="303" spans="1:21" ht="26.25" customHeight="1">
      <c r="A303" s="1089" t="s">
        <v>667</v>
      </c>
      <c r="B303" s="20" t="s">
        <v>737</v>
      </c>
      <c r="C303" s="795"/>
      <c r="D303" s="867">
        <v>5000</v>
      </c>
      <c r="E303" s="232">
        <f t="shared" si="29"/>
        <v>5000</v>
      </c>
      <c r="F303" s="863"/>
      <c r="G303" s="868"/>
      <c r="H303" s="245"/>
      <c r="I303" s="796"/>
      <c r="J303" s="796"/>
      <c r="K303" s="227"/>
      <c r="L303" s="437"/>
      <c r="M303" s="788"/>
      <c r="N303" s="796"/>
      <c r="O303" s="796"/>
      <c r="P303" s="227"/>
      <c r="Q303" s="440"/>
      <c r="R303" s="788"/>
      <c r="S303" s="796"/>
      <c r="T303" s="796"/>
      <c r="U303" s="790"/>
    </row>
    <row r="304" spans="1:21" ht="28.5" customHeight="1">
      <c r="A304" s="822" t="s">
        <v>116</v>
      </c>
      <c r="B304" s="1072" t="s">
        <v>733</v>
      </c>
      <c r="C304" s="514" t="s">
        <v>91</v>
      </c>
      <c r="D304" s="429">
        <f>50000+D305+5813</f>
        <v>56865</v>
      </c>
      <c r="E304" s="249">
        <f t="shared" si="29"/>
        <v>56865</v>
      </c>
      <c r="F304" s="863"/>
      <c r="G304" s="868"/>
      <c r="H304" s="245"/>
      <c r="I304" s="518"/>
      <c r="J304" s="518"/>
      <c r="K304" s="227"/>
      <c r="L304" s="437"/>
      <c r="M304" s="516"/>
      <c r="N304" s="518"/>
      <c r="O304" s="518"/>
      <c r="P304" s="227"/>
      <c r="Q304" s="440"/>
      <c r="R304" s="516"/>
      <c r="S304" s="518"/>
      <c r="T304" s="518"/>
      <c r="U304" s="517"/>
    </row>
    <row r="305" spans="1:21" ht="28.5" customHeight="1">
      <c r="A305" s="823" t="s">
        <v>668</v>
      </c>
      <c r="B305" s="20" t="s">
        <v>640</v>
      </c>
      <c r="C305" s="795"/>
      <c r="D305" s="844">
        <v>1052</v>
      </c>
      <c r="E305" s="232">
        <f t="shared" si="29"/>
        <v>1052</v>
      </c>
      <c r="F305" s="863"/>
      <c r="G305" s="868"/>
      <c r="H305" s="245"/>
      <c r="I305" s="796"/>
      <c r="J305" s="796"/>
      <c r="K305" s="227"/>
      <c r="L305" s="437"/>
      <c r="M305" s="788"/>
      <c r="N305" s="796"/>
      <c r="O305" s="796"/>
      <c r="P305" s="227"/>
      <c r="Q305" s="440"/>
      <c r="R305" s="788"/>
      <c r="S305" s="796"/>
      <c r="T305" s="796"/>
      <c r="U305" s="790"/>
    </row>
    <row r="306" spans="1:21" ht="26.25" customHeight="1">
      <c r="A306" s="512" t="s">
        <v>487</v>
      </c>
      <c r="B306" s="513" t="s">
        <v>309</v>
      </c>
      <c r="C306" s="514" t="s">
        <v>91</v>
      </c>
      <c r="D306" s="429">
        <v>10500</v>
      </c>
      <c r="E306" s="249">
        <f t="shared" si="29"/>
        <v>10500</v>
      </c>
      <c r="F306" s="863"/>
      <c r="G306" s="868"/>
      <c r="H306" s="245"/>
      <c r="I306" s="518"/>
      <c r="J306" s="518"/>
      <c r="K306" s="227"/>
      <c r="L306" s="437"/>
      <c r="M306" s="516"/>
      <c r="N306" s="518"/>
      <c r="O306" s="518"/>
      <c r="P306" s="227"/>
      <c r="Q306" s="440"/>
      <c r="R306" s="516"/>
      <c r="S306" s="518"/>
      <c r="T306" s="518"/>
      <c r="U306" s="517"/>
    </row>
    <row r="307" spans="1:21" ht="18.75" customHeight="1">
      <c r="A307" s="512" t="s">
        <v>113</v>
      </c>
      <c r="B307" s="515" t="s">
        <v>99</v>
      </c>
      <c r="C307" s="514" t="s">
        <v>91</v>
      </c>
      <c r="D307" s="429">
        <v>10000</v>
      </c>
      <c r="E307" s="249">
        <f t="shared" si="29"/>
        <v>10000</v>
      </c>
      <c r="F307" s="863"/>
      <c r="G307" s="868"/>
      <c r="H307" s="245"/>
      <c r="I307" s="518"/>
      <c r="J307" s="518"/>
      <c r="K307" s="227"/>
      <c r="L307" s="437"/>
      <c r="M307" s="516"/>
      <c r="N307" s="518"/>
      <c r="O307" s="518"/>
      <c r="P307" s="227"/>
      <c r="Q307" s="440"/>
      <c r="R307" s="516"/>
      <c r="S307" s="518"/>
      <c r="T307" s="518"/>
      <c r="U307" s="517"/>
    </row>
    <row r="308" spans="1:21" ht="21.75" customHeight="1" thickBot="1">
      <c r="A308" s="512" t="s">
        <v>111</v>
      </c>
      <c r="B308" s="515" t="s">
        <v>148</v>
      </c>
      <c r="C308" s="514" t="s">
        <v>91</v>
      </c>
      <c r="D308" s="929">
        <v>3000</v>
      </c>
      <c r="E308" s="249">
        <f t="shared" si="29"/>
        <v>3000</v>
      </c>
      <c r="F308" s="240"/>
      <c r="G308" s="251"/>
      <c r="H308" s="245"/>
      <c r="I308" s="518"/>
      <c r="J308" s="518"/>
      <c r="K308" s="227"/>
      <c r="L308" s="437"/>
      <c r="M308" s="516"/>
      <c r="N308" s="518"/>
      <c r="O308" s="518"/>
      <c r="P308" s="227"/>
      <c r="Q308" s="440"/>
      <c r="R308" s="516"/>
      <c r="S308" s="518"/>
      <c r="T308" s="518"/>
      <c r="U308" s="517"/>
    </row>
    <row r="309" spans="1:21" ht="41.25" hidden="1" customHeight="1">
      <c r="A309" s="533"/>
      <c r="B309" s="46" t="s">
        <v>503</v>
      </c>
      <c r="C309" s="534"/>
      <c r="D309" s="928">
        <f>SUM(D311:D316)</f>
        <v>0</v>
      </c>
      <c r="E309" s="232">
        <f t="shared" si="29"/>
        <v>0</v>
      </c>
      <c r="F309" s="523"/>
      <c r="G309" s="524"/>
      <c r="H309" s="537"/>
      <c r="I309" s="538"/>
      <c r="J309" s="539"/>
      <c r="K309" s="540"/>
      <c r="L309" s="541"/>
      <c r="M309" s="537"/>
      <c r="N309" s="538"/>
      <c r="O309" s="539"/>
      <c r="P309" s="540"/>
      <c r="Q309" s="541"/>
      <c r="R309" s="537"/>
      <c r="S309" s="538"/>
      <c r="T309" s="539"/>
      <c r="U309" s="542"/>
    </row>
    <row r="310" spans="1:21" ht="13.5" hidden="1" thickBot="1">
      <c r="A310" s="519"/>
      <c r="B310" s="383" t="s">
        <v>504</v>
      </c>
      <c r="C310" s="514"/>
      <c r="D310" s="430"/>
      <c r="E310" s="232">
        <f t="shared" si="29"/>
        <v>0</v>
      </c>
      <c r="F310" s="91"/>
      <c r="G310" s="92"/>
      <c r="H310" s="521"/>
      <c r="I310" s="520"/>
      <c r="J310" s="91"/>
      <c r="K310" s="92"/>
      <c r="L310" s="437"/>
      <c r="M310" s="521"/>
      <c r="N310" s="520"/>
      <c r="O310" s="91"/>
      <c r="P310" s="92"/>
      <c r="Q310" s="440"/>
      <c r="R310" s="521"/>
      <c r="S310" s="520"/>
      <c r="T310" s="91"/>
      <c r="U310" s="93"/>
    </row>
    <row r="311" spans="1:21" ht="27.75" hidden="1" customHeight="1">
      <c r="A311" s="446" t="s">
        <v>505</v>
      </c>
      <c r="B311" s="111" t="s">
        <v>336</v>
      </c>
      <c r="C311" s="447" t="s">
        <v>91</v>
      </c>
      <c r="D311" s="448"/>
      <c r="E311" s="232">
        <f t="shared" si="29"/>
        <v>0</v>
      </c>
      <c r="F311" s="449"/>
      <c r="G311" s="450"/>
      <c r="H311" s="412"/>
      <c r="I311" s="236"/>
      <c r="J311" s="237"/>
      <c r="K311" s="433"/>
      <c r="L311" s="438"/>
      <c r="M311" s="412"/>
      <c r="N311" s="236"/>
      <c r="O311" s="237"/>
      <c r="P311" s="433"/>
      <c r="Q311" s="438"/>
      <c r="R311" s="412"/>
      <c r="S311" s="236"/>
      <c r="T311" s="237"/>
      <c r="U311" s="93"/>
    </row>
    <row r="312" spans="1:21" ht="27" hidden="1" customHeight="1">
      <c r="A312" s="446" t="s">
        <v>506</v>
      </c>
      <c r="B312" s="513" t="s">
        <v>311</v>
      </c>
      <c r="C312" s="447" t="s">
        <v>91</v>
      </c>
      <c r="D312" s="448"/>
      <c r="E312" s="232">
        <f t="shared" si="29"/>
        <v>0</v>
      </c>
      <c r="F312" s="449"/>
      <c r="G312" s="450"/>
      <c r="H312" s="412"/>
      <c r="I312" s="236"/>
      <c r="J312" s="237"/>
      <c r="K312" s="433"/>
      <c r="L312" s="438"/>
      <c r="M312" s="412"/>
      <c r="N312" s="236"/>
      <c r="O312" s="237"/>
      <c r="P312" s="433"/>
      <c r="Q312" s="438"/>
      <c r="R312" s="412"/>
      <c r="S312" s="236"/>
      <c r="T312" s="237"/>
      <c r="U312" s="93"/>
    </row>
    <row r="313" spans="1:21" ht="27" hidden="1" customHeight="1">
      <c r="A313" s="446" t="s">
        <v>507</v>
      </c>
      <c r="B313" s="513" t="s">
        <v>303</v>
      </c>
      <c r="C313" s="447" t="s">
        <v>91</v>
      </c>
      <c r="D313" s="448"/>
      <c r="E313" s="232">
        <f t="shared" si="29"/>
        <v>0</v>
      </c>
      <c r="F313" s="449"/>
      <c r="G313" s="450"/>
      <c r="H313" s="412"/>
      <c r="I313" s="236"/>
      <c r="J313" s="237"/>
      <c r="K313" s="433"/>
      <c r="L313" s="438"/>
      <c r="M313" s="412"/>
      <c r="N313" s="236"/>
      <c r="O313" s="237"/>
      <c r="P313" s="433"/>
      <c r="Q313" s="438"/>
      <c r="R313" s="412"/>
      <c r="S313" s="236"/>
      <c r="T313" s="237"/>
      <c r="U313" s="93"/>
    </row>
    <row r="314" spans="1:21" ht="26.25" hidden="1" customHeight="1">
      <c r="A314" s="446" t="s">
        <v>508</v>
      </c>
      <c r="B314" s="513" t="s">
        <v>236</v>
      </c>
      <c r="C314" s="447" t="s">
        <v>91</v>
      </c>
      <c r="D314" s="448"/>
      <c r="E314" s="232">
        <f t="shared" si="29"/>
        <v>0</v>
      </c>
      <c r="F314" s="449"/>
      <c r="G314" s="450"/>
      <c r="H314" s="412"/>
      <c r="I314" s="236"/>
      <c r="J314" s="237"/>
      <c r="K314" s="433"/>
      <c r="L314" s="438"/>
      <c r="M314" s="412"/>
      <c r="N314" s="236"/>
      <c r="O314" s="237"/>
      <c r="P314" s="433"/>
      <c r="Q314" s="438"/>
      <c r="R314" s="412"/>
      <c r="S314" s="236"/>
      <c r="T314" s="237"/>
      <c r="U314" s="93"/>
    </row>
    <row r="315" spans="1:21" ht="26.25" hidden="1" customHeight="1">
      <c r="A315" s="446" t="s">
        <v>509</v>
      </c>
      <c r="B315" s="513" t="s">
        <v>315</v>
      </c>
      <c r="C315" s="447" t="s">
        <v>91</v>
      </c>
      <c r="D315" s="448"/>
      <c r="E315" s="232">
        <f t="shared" si="29"/>
        <v>0</v>
      </c>
      <c r="F315" s="449"/>
      <c r="G315" s="450"/>
      <c r="H315" s="412"/>
      <c r="I315" s="236"/>
      <c r="J315" s="237"/>
      <c r="K315" s="433"/>
      <c r="L315" s="438"/>
      <c r="M315" s="412"/>
      <c r="N315" s="236"/>
      <c r="O315" s="237"/>
      <c r="P315" s="433"/>
      <c r="Q315" s="438"/>
      <c r="R315" s="412"/>
      <c r="S315" s="236"/>
      <c r="T315" s="237"/>
      <c r="U315" s="93"/>
    </row>
    <row r="316" spans="1:21" ht="21.75" hidden="1" customHeight="1" thickBot="1">
      <c r="A316" s="451" t="s">
        <v>510</v>
      </c>
      <c r="B316" s="452" t="s">
        <v>310</v>
      </c>
      <c r="C316" s="461" t="s">
        <v>91</v>
      </c>
      <c r="D316" s="453"/>
      <c r="E316" s="232">
        <f t="shared" si="29"/>
        <v>0</v>
      </c>
      <c r="F316" s="454"/>
      <c r="G316" s="455"/>
      <c r="H316" s="436"/>
      <c r="I316" s="431"/>
      <c r="J316" s="432"/>
      <c r="K316" s="434"/>
      <c r="L316" s="439"/>
      <c r="M316" s="436"/>
      <c r="N316" s="431"/>
      <c r="O316" s="432"/>
      <c r="P316" s="434"/>
      <c r="Q316" s="439"/>
      <c r="R316" s="436"/>
      <c r="S316" s="431"/>
      <c r="T316" s="432"/>
      <c r="U316" s="441"/>
    </row>
    <row r="317" spans="1:21" ht="36" hidden="1" customHeight="1">
      <c r="A317" s="543"/>
      <c r="B317" s="46" t="s">
        <v>511</v>
      </c>
      <c r="C317" s="544"/>
      <c r="D317" s="545">
        <f>SUM(D319:D321)</f>
        <v>0</v>
      </c>
      <c r="E317" s="232">
        <f t="shared" si="29"/>
        <v>0</v>
      </c>
      <c r="F317" s="535"/>
      <c r="G317" s="536"/>
      <c r="H317" s="545"/>
      <c r="I317" s="546"/>
      <c r="J317" s="547"/>
      <c r="K317" s="548"/>
      <c r="L317" s="549"/>
      <c r="M317" s="545"/>
      <c r="N317" s="546"/>
      <c r="O317" s="547"/>
      <c r="P317" s="548"/>
      <c r="Q317" s="549"/>
      <c r="R317" s="545"/>
      <c r="S317" s="546"/>
      <c r="T317" s="547"/>
      <c r="U317" s="542"/>
    </row>
    <row r="318" spans="1:21" ht="16.5" hidden="1" customHeight="1">
      <c r="A318" s="446"/>
      <c r="B318" s="20" t="s">
        <v>244</v>
      </c>
      <c r="C318" s="447"/>
      <c r="D318" s="448"/>
      <c r="E318" s="232">
        <f t="shared" si="29"/>
        <v>0</v>
      </c>
      <c r="F318" s="449"/>
      <c r="G318" s="450"/>
      <c r="H318" s="412"/>
      <c r="I318" s="236"/>
      <c r="J318" s="237"/>
      <c r="K318" s="433"/>
      <c r="L318" s="438"/>
      <c r="M318" s="412"/>
      <c r="N318" s="236"/>
      <c r="O318" s="237"/>
      <c r="P318" s="433"/>
      <c r="Q318" s="438"/>
      <c r="R318" s="412"/>
      <c r="S318" s="236"/>
      <c r="T318" s="237"/>
      <c r="U318" s="93"/>
    </row>
    <row r="319" spans="1:21" ht="16.5" hidden="1" customHeight="1">
      <c r="A319" s="446" t="s">
        <v>512</v>
      </c>
      <c r="B319" s="513" t="s">
        <v>99</v>
      </c>
      <c r="C319" s="447" t="s">
        <v>91</v>
      </c>
      <c r="D319" s="448"/>
      <c r="E319" s="232">
        <f t="shared" si="29"/>
        <v>0</v>
      </c>
      <c r="F319" s="449"/>
      <c r="G319" s="450"/>
      <c r="H319" s="412"/>
      <c r="I319" s="236"/>
      <c r="J319" s="237"/>
      <c r="K319" s="433"/>
      <c r="L319" s="438"/>
      <c r="M319" s="412"/>
      <c r="N319" s="236"/>
      <c r="O319" s="237"/>
      <c r="P319" s="433"/>
      <c r="Q319" s="438"/>
      <c r="R319" s="412"/>
      <c r="S319" s="236"/>
      <c r="T319" s="237"/>
      <c r="U319" s="93"/>
    </row>
    <row r="320" spans="1:21" ht="16.5" hidden="1" customHeight="1">
      <c r="A320" s="446" t="s">
        <v>513</v>
      </c>
      <c r="B320" s="513" t="s">
        <v>317</v>
      </c>
      <c r="C320" s="447" t="s">
        <v>91</v>
      </c>
      <c r="D320" s="448"/>
      <c r="E320" s="232">
        <f t="shared" si="29"/>
        <v>0</v>
      </c>
      <c r="F320" s="449"/>
      <c r="G320" s="450"/>
      <c r="H320" s="412"/>
      <c r="I320" s="236"/>
      <c r="J320" s="237"/>
      <c r="K320" s="433"/>
      <c r="L320" s="438"/>
      <c r="M320" s="412"/>
      <c r="N320" s="236"/>
      <c r="O320" s="237"/>
      <c r="P320" s="433"/>
      <c r="Q320" s="438"/>
      <c r="R320" s="412"/>
      <c r="S320" s="236"/>
      <c r="T320" s="237"/>
      <c r="U320" s="93"/>
    </row>
    <row r="321" spans="1:21" ht="21.75" hidden="1" customHeight="1" thickBot="1">
      <c r="A321" s="451" t="s">
        <v>514</v>
      </c>
      <c r="B321" s="452" t="s">
        <v>304</v>
      </c>
      <c r="C321" s="461" t="s">
        <v>91</v>
      </c>
      <c r="D321" s="453"/>
      <c r="E321" s="232">
        <f t="shared" si="29"/>
        <v>0</v>
      </c>
      <c r="F321" s="454"/>
      <c r="G321" s="455"/>
      <c r="H321" s="436"/>
      <c r="I321" s="431"/>
      <c r="J321" s="432"/>
      <c r="K321" s="434"/>
      <c r="L321" s="439"/>
      <c r="M321" s="436"/>
      <c r="N321" s="431"/>
      <c r="O321" s="432"/>
      <c r="P321" s="434"/>
      <c r="Q321" s="439"/>
      <c r="R321" s="436"/>
      <c r="S321" s="431"/>
      <c r="T321" s="432"/>
      <c r="U321" s="441"/>
    </row>
    <row r="322" spans="1:21" ht="27.75" hidden="1" customHeight="1">
      <c r="A322" s="526"/>
      <c r="B322" s="341" t="s">
        <v>515</v>
      </c>
      <c r="C322" s="527"/>
      <c r="D322" s="528">
        <f>SUM(D324)</f>
        <v>0</v>
      </c>
      <c r="E322" s="232">
        <f t="shared" si="29"/>
        <v>0</v>
      </c>
      <c r="F322" s="523"/>
      <c r="G322" s="524"/>
      <c r="H322" s="528"/>
      <c r="I322" s="529"/>
      <c r="J322" s="530"/>
      <c r="K322" s="531"/>
      <c r="L322" s="532"/>
      <c r="M322" s="528"/>
      <c r="N322" s="529"/>
      <c r="O322" s="530"/>
      <c r="P322" s="531"/>
      <c r="Q322" s="532"/>
      <c r="R322" s="528"/>
      <c r="S322" s="529"/>
      <c r="T322" s="530"/>
      <c r="U322" s="525"/>
    </row>
    <row r="323" spans="1:21" ht="17.25" hidden="1" customHeight="1">
      <c r="A323" s="446"/>
      <c r="B323" s="20" t="s">
        <v>244</v>
      </c>
      <c r="C323" s="447"/>
      <c r="D323" s="448"/>
      <c r="E323" s="232">
        <f t="shared" si="29"/>
        <v>0</v>
      </c>
      <c r="F323" s="449"/>
      <c r="G323" s="450"/>
      <c r="H323" s="412"/>
      <c r="I323" s="236"/>
      <c r="J323" s="237"/>
      <c r="K323" s="433"/>
      <c r="L323" s="438"/>
      <c r="M323" s="412"/>
      <c r="N323" s="236"/>
      <c r="O323" s="237"/>
      <c r="P323" s="433"/>
      <c r="Q323" s="438"/>
      <c r="R323" s="412"/>
      <c r="S323" s="236"/>
      <c r="T323" s="237"/>
      <c r="U323" s="93"/>
    </row>
    <row r="324" spans="1:21" ht="21.75" hidden="1" customHeight="1" thickBot="1">
      <c r="A324" s="451" t="s">
        <v>516</v>
      </c>
      <c r="B324" s="452" t="s">
        <v>148</v>
      </c>
      <c r="C324" s="461"/>
      <c r="D324" s="453"/>
      <c r="E324" s="232">
        <f t="shared" si="29"/>
        <v>0</v>
      </c>
      <c r="F324" s="454"/>
      <c r="G324" s="455"/>
      <c r="H324" s="436"/>
      <c r="I324" s="431"/>
      <c r="J324" s="432"/>
      <c r="K324" s="434"/>
      <c r="L324" s="439"/>
      <c r="M324" s="436"/>
      <c r="N324" s="431"/>
      <c r="O324" s="432"/>
      <c r="P324" s="434"/>
      <c r="Q324" s="439"/>
      <c r="R324" s="436"/>
      <c r="S324" s="431"/>
      <c r="T324" s="432"/>
      <c r="U324" s="441"/>
    </row>
    <row r="325" spans="1:21" ht="45" hidden="1" customHeight="1">
      <c r="A325" s="446"/>
      <c r="B325" s="21" t="s">
        <v>530</v>
      </c>
      <c r="C325" s="447"/>
      <c r="D325" s="412">
        <f>SUM(D327:D333)</f>
        <v>0</v>
      </c>
      <c r="E325" s="232">
        <f t="shared" si="29"/>
        <v>0</v>
      </c>
      <c r="F325" s="449"/>
      <c r="G325" s="236">
        <f>SUM(G327:G333)</f>
        <v>0</v>
      </c>
      <c r="H325" s="412"/>
      <c r="I325" s="236"/>
      <c r="J325" s="237"/>
      <c r="K325" s="433"/>
      <c r="L325" s="438"/>
      <c r="M325" s="412"/>
      <c r="N325" s="236"/>
      <c r="O325" s="237"/>
      <c r="P325" s="433"/>
      <c r="Q325" s="438"/>
      <c r="R325" s="412"/>
      <c r="S325" s="236"/>
      <c r="T325" s="237"/>
      <c r="U325" s="93"/>
    </row>
    <row r="326" spans="1:21" ht="16.5" hidden="1" customHeight="1">
      <c r="A326" s="446"/>
      <c r="B326" s="20" t="s">
        <v>244</v>
      </c>
      <c r="C326" s="447"/>
      <c r="D326" s="448"/>
      <c r="E326" s="232">
        <f t="shared" si="29"/>
        <v>0</v>
      </c>
      <c r="F326" s="449"/>
      <c r="G326" s="450"/>
      <c r="H326" s="412"/>
      <c r="I326" s="236"/>
      <c r="J326" s="237"/>
      <c r="K326" s="433"/>
      <c r="L326" s="438"/>
      <c r="M326" s="412"/>
      <c r="N326" s="236"/>
      <c r="O326" s="237"/>
      <c r="P326" s="433"/>
      <c r="Q326" s="438"/>
      <c r="R326" s="412"/>
      <c r="S326" s="236"/>
      <c r="T326" s="237"/>
      <c r="U326" s="93"/>
    </row>
    <row r="327" spans="1:21" ht="16.5" hidden="1" customHeight="1">
      <c r="A327" s="446" t="s">
        <v>537</v>
      </c>
      <c r="B327" s="513" t="s">
        <v>317</v>
      </c>
      <c r="C327" s="447" t="s">
        <v>91</v>
      </c>
      <c r="D327" s="448"/>
      <c r="E327" s="232">
        <f t="shared" si="29"/>
        <v>0</v>
      </c>
      <c r="F327" s="449"/>
      <c r="G327" s="450"/>
      <c r="H327" s="412"/>
      <c r="I327" s="236"/>
      <c r="J327" s="237"/>
      <c r="K327" s="433"/>
      <c r="L327" s="438"/>
      <c r="M327" s="412"/>
      <c r="N327" s="236"/>
      <c r="O327" s="237"/>
      <c r="P327" s="433"/>
      <c r="Q327" s="438"/>
      <c r="R327" s="412"/>
      <c r="S327" s="236"/>
      <c r="T327" s="237"/>
      <c r="U327" s="93"/>
    </row>
    <row r="328" spans="1:21" ht="24.75" hidden="1" customHeight="1">
      <c r="A328" s="446" t="s">
        <v>531</v>
      </c>
      <c r="B328" s="513" t="s">
        <v>309</v>
      </c>
      <c r="C328" s="447" t="s">
        <v>91</v>
      </c>
      <c r="D328" s="448"/>
      <c r="E328" s="232">
        <f t="shared" si="29"/>
        <v>0</v>
      </c>
      <c r="F328" s="449"/>
      <c r="G328" s="450"/>
      <c r="H328" s="412"/>
      <c r="I328" s="236"/>
      <c r="J328" s="237"/>
      <c r="K328" s="433"/>
      <c r="L328" s="438"/>
      <c r="M328" s="412"/>
      <c r="N328" s="236"/>
      <c r="O328" s="237"/>
      <c r="P328" s="433"/>
      <c r="Q328" s="438"/>
      <c r="R328" s="412"/>
      <c r="S328" s="236"/>
      <c r="T328" s="237"/>
      <c r="U328" s="93"/>
    </row>
    <row r="329" spans="1:21" ht="16.5" hidden="1" customHeight="1">
      <c r="A329" s="446" t="s">
        <v>532</v>
      </c>
      <c r="B329" s="554" t="s">
        <v>115</v>
      </c>
      <c r="C329" s="447" t="s">
        <v>91</v>
      </c>
      <c r="D329" s="448"/>
      <c r="E329" s="232">
        <f t="shared" si="29"/>
        <v>0</v>
      </c>
      <c r="F329" s="449"/>
      <c r="G329" s="450"/>
      <c r="H329" s="412"/>
      <c r="I329" s="236"/>
      <c r="J329" s="237"/>
      <c r="K329" s="433"/>
      <c r="L329" s="438"/>
      <c r="M329" s="412"/>
      <c r="N329" s="236"/>
      <c r="O329" s="237"/>
      <c r="P329" s="433"/>
      <c r="Q329" s="438"/>
      <c r="R329" s="412"/>
      <c r="S329" s="236"/>
      <c r="T329" s="237"/>
      <c r="U329" s="93"/>
    </row>
    <row r="330" spans="1:21" ht="16.5" hidden="1" customHeight="1">
      <c r="A330" s="446" t="s">
        <v>533</v>
      </c>
      <c r="B330" s="574" t="s">
        <v>112</v>
      </c>
      <c r="C330" s="447" t="s">
        <v>91</v>
      </c>
      <c r="D330" s="448"/>
      <c r="E330" s="232">
        <f t="shared" si="29"/>
        <v>0</v>
      </c>
      <c r="F330" s="449"/>
      <c r="G330" s="450"/>
      <c r="H330" s="412"/>
      <c r="I330" s="236"/>
      <c r="J330" s="237"/>
      <c r="K330" s="433"/>
      <c r="L330" s="438"/>
      <c r="M330" s="412"/>
      <c r="N330" s="236"/>
      <c r="O330" s="237"/>
      <c r="P330" s="433"/>
      <c r="Q330" s="438"/>
      <c r="R330" s="412"/>
      <c r="S330" s="236"/>
      <c r="T330" s="237"/>
      <c r="U330" s="93"/>
    </row>
    <row r="331" spans="1:21" ht="16.5" hidden="1" customHeight="1">
      <c r="A331" s="446" t="s">
        <v>534</v>
      </c>
      <c r="B331" s="590" t="s">
        <v>109</v>
      </c>
      <c r="C331" s="447" t="s">
        <v>91</v>
      </c>
      <c r="D331" s="448"/>
      <c r="E331" s="232">
        <f t="shared" si="29"/>
        <v>0</v>
      </c>
      <c r="F331" s="449"/>
      <c r="G331" s="450"/>
      <c r="H331" s="412"/>
      <c r="I331" s="236"/>
      <c r="J331" s="237"/>
      <c r="K331" s="433"/>
      <c r="L331" s="438"/>
      <c r="M331" s="412"/>
      <c r="N331" s="236"/>
      <c r="O331" s="237"/>
      <c r="P331" s="433"/>
      <c r="Q331" s="438"/>
      <c r="R331" s="412"/>
      <c r="S331" s="236"/>
      <c r="T331" s="237"/>
      <c r="U331" s="93"/>
    </row>
    <row r="332" spans="1:21" ht="16.5" hidden="1" customHeight="1">
      <c r="A332" s="446" t="s">
        <v>535</v>
      </c>
      <c r="B332" s="554" t="s">
        <v>108</v>
      </c>
      <c r="C332" s="447" t="s">
        <v>91</v>
      </c>
      <c r="D332" s="448"/>
      <c r="E332" s="232">
        <f t="shared" si="29"/>
        <v>0</v>
      </c>
      <c r="F332" s="449"/>
      <c r="G332" s="450"/>
      <c r="H332" s="412"/>
      <c r="I332" s="236"/>
      <c r="J332" s="237"/>
      <c r="K332" s="433"/>
      <c r="L332" s="438"/>
      <c r="M332" s="412"/>
      <c r="N332" s="236"/>
      <c r="O332" s="237"/>
      <c r="P332" s="433"/>
      <c r="Q332" s="438"/>
      <c r="R332" s="412"/>
      <c r="S332" s="236"/>
      <c r="T332" s="237"/>
      <c r="U332" s="93"/>
    </row>
    <row r="333" spans="1:21" ht="21.75" hidden="1" customHeight="1" thickBot="1">
      <c r="A333" s="575" t="s">
        <v>536</v>
      </c>
      <c r="B333" s="576" t="s">
        <v>105</v>
      </c>
      <c r="C333" s="577" t="s">
        <v>91</v>
      </c>
      <c r="D333" s="578"/>
      <c r="E333" s="232">
        <f t="shared" si="29"/>
        <v>0</v>
      </c>
      <c r="F333" s="579"/>
      <c r="G333" s="580"/>
      <c r="H333" s="581"/>
      <c r="I333" s="582"/>
      <c r="J333" s="583"/>
      <c r="K333" s="584"/>
      <c r="L333" s="585"/>
      <c r="M333" s="581"/>
      <c r="N333" s="582"/>
      <c r="O333" s="583"/>
      <c r="P333" s="584"/>
      <c r="Q333" s="585"/>
      <c r="R333" s="581"/>
      <c r="S333" s="582"/>
      <c r="T333" s="583"/>
      <c r="U333" s="586"/>
    </row>
    <row r="334" spans="1:21" ht="43.5" thickBot="1">
      <c r="A334" s="17" t="s">
        <v>98</v>
      </c>
      <c r="B334" s="22" t="s">
        <v>645</v>
      </c>
      <c r="C334" s="587"/>
      <c r="D334" s="265">
        <f>SUM(D336,D339,)</f>
        <v>75600</v>
      </c>
      <c r="E334" s="266">
        <f>SUM(E336,E339,)</f>
        <v>75600</v>
      </c>
      <c r="F334" s="266">
        <f>SUM(F336,F339,)</f>
        <v>0</v>
      </c>
      <c r="G334" s="266">
        <f>SUM(G336,G339,)</f>
        <v>0</v>
      </c>
      <c r="H334" s="270">
        <f>SUM(H336,H339)</f>
        <v>0</v>
      </c>
      <c r="I334" s="271">
        <f>SUM(I336,I339)</f>
        <v>0</v>
      </c>
      <c r="J334" s="271">
        <f>SUM(J336,J339)</f>
        <v>0</v>
      </c>
      <c r="K334" s="272">
        <f>SUM(K336,K339)</f>
        <v>0</v>
      </c>
      <c r="L334" s="362"/>
      <c r="M334" s="270">
        <f>SUM(M336,M339)</f>
        <v>0</v>
      </c>
      <c r="N334" s="271">
        <f>SUM(N336,N339)</f>
        <v>0</v>
      </c>
      <c r="O334" s="271">
        <f>SUM(O336,O339)</f>
        <v>0</v>
      </c>
      <c r="P334" s="272">
        <f>SUM(P336,P339)</f>
        <v>0</v>
      </c>
      <c r="Q334" s="55"/>
      <c r="R334" s="270">
        <f>SUM(R336,R339)</f>
        <v>0</v>
      </c>
      <c r="S334" s="271">
        <f>SUM(S336,S339)</f>
        <v>0</v>
      </c>
      <c r="T334" s="271">
        <f>SUM(T336,T339)</f>
        <v>0</v>
      </c>
      <c r="U334" s="272">
        <f>SUM(U336,U339)</f>
        <v>0</v>
      </c>
    </row>
    <row r="335" spans="1:21" ht="15">
      <c r="A335" s="41"/>
      <c r="B335" s="674" t="s">
        <v>565</v>
      </c>
      <c r="C335" s="113"/>
      <c r="D335" s="202"/>
      <c r="E335" s="203"/>
      <c r="F335" s="203"/>
      <c r="G335" s="204"/>
      <c r="H335" s="205"/>
      <c r="I335" s="203"/>
      <c r="J335" s="203"/>
      <c r="K335" s="206"/>
      <c r="L335" s="365"/>
      <c r="M335" s="273"/>
      <c r="N335" s="274"/>
      <c r="O335" s="274"/>
      <c r="P335" s="275"/>
      <c r="Q335" s="61"/>
      <c r="R335" s="202"/>
      <c r="S335" s="203"/>
      <c r="T335" s="203"/>
      <c r="U335" s="204"/>
    </row>
    <row r="336" spans="1:21" ht="36">
      <c r="A336" s="11" t="s">
        <v>97</v>
      </c>
      <c r="B336" s="107" t="s">
        <v>461</v>
      </c>
      <c r="C336" s="114" t="s">
        <v>91</v>
      </c>
      <c r="D336" s="182">
        <f>SUM(D338:D338)</f>
        <v>50600</v>
      </c>
      <c r="E336" s="180">
        <f>SUM(E338:E338)</f>
        <v>50600</v>
      </c>
      <c r="F336" s="180">
        <f>SUM(F338:F338)</f>
        <v>0</v>
      </c>
      <c r="G336" s="183">
        <f>SUM(G338:G338)</f>
        <v>0</v>
      </c>
      <c r="H336" s="179">
        <f t="shared" ref="H336:U336" si="30">SUM(H338)</f>
        <v>0</v>
      </c>
      <c r="I336" s="180">
        <f t="shared" si="30"/>
        <v>0</v>
      </c>
      <c r="J336" s="180">
        <f t="shared" si="30"/>
        <v>0</v>
      </c>
      <c r="K336" s="181">
        <f t="shared" si="30"/>
        <v>0</v>
      </c>
      <c r="L336" s="366"/>
      <c r="M336" s="179">
        <f t="shared" si="30"/>
        <v>0</v>
      </c>
      <c r="N336" s="180">
        <f t="shared" si="30"/>
        <v>0</v>
      </c>
      <c r="O336" s="180">
        <f t="shared" si="30"/>
        <v>0</v>
      </c>
      <c r="P336" s="181">
        <f t="shared" si="30"/>
        <v>0</v>
      </c>
      <c r="Q336" s="53"/>
      <c r="R336" s="182">
        <f t="shared" si="30"/>
        <v>0</v>
      </c>
      <c r="S336" s="180">
        <f t="shared" si="30"/>
        <v>0</v>
      </c>
      <c r="T336" s="180">
        <f t="shared" si="30"/>
        <v>0</v>
      </c>
      <c r="U336" s="183">
        <f t="shared" si="30"/>
        <v>0</v>
      </c>
    </row>
    <row r="337" spans="1:21">
      <c r="A337" s="11"/>
      <c r="B337" s="658" t="s">
        <v>16</v>
      </c>
      <c r="C337" s="115"/>
      <c r="D337" s="806"/>
      <c r="E337" s="808"/>
      <c r="F337" s="808"/>
      <c r="G337" s="817"/>
      <c r="H337" s="173"/>
      <c r="I337" s="166"/>
      <c r="J337" s="166"/>
      <c r="K337" s="164"/>
      <c r="L337" s="366"/>
      <c r="M337" s="173"/>
      <c r="N337" s="166"/>
      <c r="O337" s="166"/>
      <c r="P337" s="164"/>
      <c r="Q337" s="53"/>
      <c r="R337" s="165"/>
      <c r="S337" s="166"/>
      <c r="T337" s="166"/>
      <c r="U337" s="167"/>
    </row>
    <row r="338" spans="1:21" ht="26.25" customHeight="1">
      <c r="A338" s="120" t="s">
        <v>96</v>
      </c>
      <c r="B338" s="1096" t="s">
        <v>95</v>
      </c>
      <c r="C338" s="112" t="s">
        <v>91</v>
      </c>
      <c r="D338" s="806">
        <v>50600</v>
      </c>
      <c r="E338" s="808">
        <f>+D338</f>
        <v>50600</v>
      </c>
      <c r="F338" s="808"/>
      <c r="G338" s="817"/>
      <c r="H338" s="173"/>
      <c r="I338" s="166"/>
      <c r="J338" s="166"/>
      <c r="K338" s="164"/>
      <c r="L338" s="367"/>
      <c r="M338" s="173"/>
      <c r="N338" s="166"/>
      <c r="O338" s="166"/>
      <c r="P338" s="164"/>
      <c r="Q338" s="51"/>
      <c r="R338" s="165"/>
      <c r="S338" s="166"/>
      <c r="T338" s="166"/>
      <c r="U338" s="167"/>
    </row>
    <row r="339" spans="1:21" ht="21">
      <c r="A339" s="120" t="s">
        <v>215</v>
      </c>
      <c r="B339" s="117" t="s">
        <v>216</v>
      </c>
      <c r="C339" s="116" t="s">
        <v>91</v>
      </c>
      <c r="D339" s="182">
        <f>SUM(D340:D341)</f>
        <v>25000</v>
      </c>
      <c r="E339" s="180">
        <f>SUM(E340:E341)</f>
        <v>25000</v>
      </c>
      <c r="F339" s="180">
        <f t="shared" ref="F339:U339" si="31">SUM(F341:F342)</f>
        <v>0</v>
      </c>
      <c r="G339" s="183">
        <f t="shared" si="31"/>
        <v>0</v>
      </c>
      <c r="H339" s="179">
        <f t="shared" si="31"/>
        <v>0</v>
      </c>
      <c r="I339" s="180">
        <f t="shared" si="31"/>
        <v>0</v>
      </c>
      <c r="J339" s="180">
        <f t="shared" si="31"/>
        <v>0</v>
      </c>
      <c r="K339" s="181">
        <f t="shared" si="31"/>
        <v>0</v>
      </c>
      <c r="L339" s="368">
        <f t="shared" si="31"/>
        <v>0</v>
      </c>
      <c r="M339" s="179">
        <f t="shared" si="31"/>
        <v>0</v>
      </c>
      <c r="N339" s="179">
        <f t="shared" si="31"/>
        <v>0</v>
      </c>
      <c r="O339" s="179">
        <f t="shared" si="31"/>
        <v>0</v>
      </c>
      <c r="P339" s="129">
        <f t="shared" si="31"/>
        <v>0</v>
      </c>
      <c r="Q339" s="62">
        <f t="shared" si="31"/>
        <v>0</v>
      </c>
      <c r="R339" s="182">
        <f t="shared" si="31"/>
        <v>0</v>
      </c>
      <c r="S339" s="180">
        <f t="shared" si="31"/>
        <v>0</v>
      </c>
      <c r="T339" s="180">
        <f t="shared" si="31"/>
        <v>0</v>
      </c>
      <c r="U339" s="183">
        <f t="shared" si="31"/>
        <v>0</v>
      </c>
    </row>
    <row r="340" spans="1:21" ht="46.5" customHeight="1">
      <c r="A340" s="120" t="s">
        <v>217</v>
      </c>
      <c r="B340" s="1096" t="s">
        <v>642</v>
      </c>
      <c r="C340" s="803"/>
      <c r="D340" s="818">
        <v>15000</v>
      </c>
      <c r="E340" s="812">
        <v>15000</v>
      </c>
      <c r="F340" s="180"/>
      <c r="G340" s="183"/>
      <c r="H340" s="179"/>
      <c r="I340" s="180"/>
      <c r="J340" s="180"/>
      <c r="K340" s="181"/>
      <c r="L340" s="368"/>
      <c r="M340" s="804"/>
      <c r="N340" s="804"/>
      <c r="O340" s="804"/>
      <c r="P340" s="805"/>
      <c r="Q340" s="62"/>
      <c r="R340" s="182"/>
      <c r="S340" s="180"/>
      <c r="T340" s="180"/>
      <c r="U340" s="183"/>
    </row>
    <row r="341" spans="1:21" ht="33" customHeight="1" thickBot="1">
      <c r="A341" s="120" t="s">
        <v>323</v>
      </c>
      <c r="B341" s="1096" t="s">
        <v>393</v>
      </c>
      <c r="C341" s="106" t="s">
        <v>91</v>
      </c>
      <c r="D341" s="671">
        <v>10000</v>
      </c>
      <c r="E341" s="672">
        <v>10000</v>
      </c>
      <c r="F341" s="196"/>
      <c r="G341" s="673"/>
      <c r="H341" s="177"/>
      <c r="I341" s="89"/>
      <c r="J341" s="89"/>
      <c r="K341" s="169"/>
      <c r="L341" s="367"/>
      <c r="M341" s="276"/>
      <c r="N341" s="277"/>
      <c r="O341" s="277"/>
      <c r="P341" s="278"/>
      <c r="Q341" s="51"/>
      <c r="R341" s="90"/>
      <c r="S341" s="89"/>
      <c r="T341" s="89"/>
      <c r="U341" s="279"/>
    </row>
    <row r="342" spans="1:21" ht="23.25" hidden="1" thickBot="1">
      <c r="A342" s="65" t="s">
        <v>323</v>
      </c>
      <c r="B342" s="125" t="s">
        <v>436</v>
      </c>
      <c r="C342" s="106" t="s">
        <v>91</v>
      </c>
      <c r="D342" s="667"/>
      <c r="E342" s="668"/>
      <c r="F342" s="669"/>
      <c r="G342" s="670"/>
      <c r="H342" s="257"/>
      <c r="I342" s="280"/>
      <c r="J342" s="280"/>
      <c r="K342" s="212"/>
      <c r="L342" s="363"/>
      <c r="M342" s="257"/>
      <c r="N342" s="280"/>
      <c r="O342" s="280"/>
      <c r="P342" s="212"/>
      <c r="Q342" s="126"/>
      <c r="R342" s="259"/>
      <c r="S342" s="280"/>
      <c r="T342" s="280"/>
      <c r="U342" s="260"/>
    </row>
    <row r="343" spans="1:21" ht="29.25" thickBot="1">
      <c r="A343" s="17" t="s">
        <v>92</v>
      </c>
      <c r="B343" s="22" t="s">
        <v>646</v>
      </c>
      <c r="C343" s="28" t="s">
        <v>89</v>
      </c>
      <c r="D343" s="768">
        <f>+D345</f>
        <v>67500</v>
      </c>
      <c r="E343" s="216">
        <f>+E345</f>
        <v>25000</v>
      </c>
      <c r="F343" s="216">
        <f>+F345</f>
        <v>0</v>
      </c>
      <c r="G343" s="824">
        <f>+G345</f>
        <v>42500</v>
      </c>
      <c r="H343" s="215">
        <f>SUM(H347,)</f>
        <v>0</v>
      </c>
      <c r="I343" s="216">
        <f>SUM(I347,)</f>
        <v>0</v>
      </c>
      <c r="J343" s="216">
        <f>SUM(J347,)</f>
        <v>0</v>
      </c>
      <c r="K343" s="217">
        <f>SUM(K347,)</f>
        <v>0</v>
      </c>
      <c r="L343" s="352"/>
      <c r="M343" s="215">
        <f>SUM(M347,)</f>
        <v>0</v>
      </c>
      <c r="N343" s="216">
        <f>SUM(N347,)</f>
        <v>0</v>
      </c>
      <c r="O343" s="216">
        <f>SUM(O347,)</f>
        <v>0</v>
      </c>
      <c r="P343" s="217">
        <f>SUM(P347,)</f>
        <v>0</v>
      </c>
      <c r="Q343" s="344"/>
      <c r="R343" s="215">
        <f>SUM(R347,)</f>
        <v>0</v>
      </c>
      <c r="S343" s="216">
        <f>SUM(S347,)</f>
        <v>0</v>
      </c>
      <c r="T343" s="216">
        <f>SUM(T347,)</f>
        <v>0</v>
      </c>
      <c r="U343" s="217">
        <f>SUM(U347,)</f>
        <v>0</v>
      </c>
    </row>
    <row r="344" spans="1:21">
      <c r="A344" s="19"/>
      <c r="B344" s="675" t="s">
        <v>18</v>
      </c>
      <c r="C344" s="342"/>
      <c r="D344" s="219"/>
      <c r="E344" s="220"/>
      <c r="F344" s="220"/>
      <c r="G344" s="221"/>
      <c r="H344" s="330"/>
      <c r="I344" s="325"/>
      <c r="J344" s="325"/>
      <c r="K344" s="218"/>
      <c r="L344" s="371"/>
      <c r="M344" s="329"/>
      <c r="N344" s="325"/>
      <c r="O344" s="325"/>
      <c r="P344" s="218"/>
      <c r="Q344" s="343"/>
      <c r="R344" s="329"/>
      <c r="S344" s="325"/>
      <c r="T344" s="325"/>
      <c r="U344" s="327"/>
    </row>
    <row r="345" spans="1:21" ht="36">
      <c r="A345" s="11" t="s">
        <v>90</v>
      </c>
      <c r="B345" s="21" t="s">
        <v>461</v>
      </c>
      <c r="C345" s="68" t="s">
        <v>89</v>
      </c>
      <c r="D345" s="182">
        <f>SUM(D347:D353)</f>
        <v>67500</v>
      </c>
      <c r="E345" s="180">
        <f>SUM(E347:E353)</f>
        <v>25000</v>
      </c>
      <c r="F345" s="180">
        <f>SUM(F347:F353)</f>
        <v>0</v>
      </c>
      <c r="G345" s="183">
        <f>SUM(G347:G353)</f>
        <v>42500</v>
      </c>
      <c r="H345" s="179"/>
      <c r="I345" s="180"/>
      <c r="J345" s="180"/>
      <c r="K345" s="181"/>
      <c r="L345" s="357"/>
      <c r="M345" s="182"/>
      <c r="N345" s="180"/>
      <c r="O345" s="180"/>
      <c r="P345" s="181"/>
      <c r="Q345" s="53"/>
      <c r="R345" s="182"/>
      <c r="S345" s="180"/>
      <c r="T345" s="180"/>
      <c r="U345" s="183"/>
    </row>
    <row r="346" spans="1:21">
      <c r="A346" s="11"/>
      <c r="B346" s="676" t="s">
        <v>16</v>
      </c>
      <c r="C346" s="64"/>
      <c r="D346" s="286"/>
      <c r="E346" s="287"/>
      <c r="F346" s="287"/>
      <c r="G346" s="288"/>
      <c r="H346" s="289"/>
      <c r="I346" s="287"/>
      <c r="J346" s="287"/>
      <c r="K346" s="290"/>
      <c r="L346" s="357"/>
      <c r="M346" s="286"/>
      <c r="N346" s="287"/>
      <c r="O346" s="287"/>
      <c r="P346" s="290"/>
      <c r="Q346" s="53"/>
      <c r="R346" s="286"/>
      <c r="S346" s="287"/>
      <c r="T346" s="287"/>
      <c r="U346" s="288"/>
    </row>
    <row r="347" spans="1:21" ht="38.25" hidden="1" customHeight="1">
      <c r="A347" s="11"/>
      <c r="B347" s="20"/>
      <c r="C347" s="64" t="s">
        <v>89</v>
      </c>
      <c r="D347" s="651"/>
      <c r="E347" s="659"/>
      <c r="F347" s="650"/>
      <c r="G347" s="654"/>
      <c r="H347" s="173"/>
      <c r="I347" s="252"/>
      <c r="J347" s="166"/>
      <c r="K347" s="164"/>
      <c r="L347" s="354"/>
      <c r="M347" s="165"/>
      <c r="N347" s="252"/>
      <c r="O347" s="166"/>
      <c r="P347" s="164"/>
      <c r="Q347" s="51"/>
      <c r="R347" s="165"/>
      <c r="S347" s="252"/>
      <c r="T347" s="166"/>
      <c r="U347" s="167"/>
    </row>
    <row r="348" spans="1:21" hidden="1">
      <c r="A348" s="11"/>
      <c r="B348" s="20"/>
      <c r="C348" s="64" t="s">
        <v>89</v>
      </c>
      <c r="D348" s="651"/>
      <c r="E348" s="659"/>
      <c r="F348" s="650"/>
      <c r="G348" s="654"/>
      <c r="H348" s="173"/>
      <c r="I348" s="252"/>
      <c r="J348" s="166"/>
      <c r="K348" s="164"/>
      <c r="L348" s="354"/>
      <c r="M348" s="165"/>
      <c r="N348" s="252"/>
      <c r="O348" s="166"/>
      <c r="P348" s="164"/>
      <c r="Q348" s="51"/>
      <c r="R348" s="165"/>
      <c r="S348" s="252"/>
      <c r="T348" s="166"/>
      <c r="U348" s="167"/>
    </row>
    <row r="349" spans="1:21" ht="24.75" customHeight="1">
      <c r="A349" s="11" t="s">
        <v>88</v>
      </c>
      <c r="B349" s="676" t="s">
        <v>352</v>
      </c>
      <c r="C349" s="64" t="s">
        <v>89</v>
      </c>
      <c r="D349" s="651">
        <v>40000</v>
      </c>
      <c r="E349" s="659"/>
      <c r="F349" s="650"/>
      <c r="G349" s="654">
        <v>40000</v>
      </c>
      <c r="H349" s="173"/>
      <c r="I349" s="252"/>
      <c r="J349" s="166"/>
      <c r="K349" s="164"/>
      <c r="L349" s="354"/>
      <c r="M349" s="165"/>
      <c r="N349" s="252"/>
      <c r="O349" s="166"/>
      <c r="P349" s="164"/>
      <c r="Q349" s="51"/>
      <c r="R349" s="165"/>
      <c r="S349" s="252"/>
      <c r="T349" s="166"/>
      <c r="U349" s="167"/>
    </row>
    <row r="350" spans="1:21" ht="31.5" customHeight="1">
      <c r="A350" s="657" t="s">
        <v>218</v>
      </c>
      <c r="B350" s="676" t="s">
        <v>481</v>
      </c>
      <c r="C350" s="64" t="s">
        <v>89</v>
      </c>
      <c r="D350" s="651">
        <v>2500</v>
      </c>
      <c r="E350" s="659"/>
      <c r="F350" s="650"/>
      <c r="G350" s="654">
        <v>2500</v>
      </c>
      <c r="H350" s="173"/>
      <c r="I350" s="252"/>
      <c r="J350" s="166"/>
      <c r="K350" s="164"/>
      <c r="L350" s="354"/>
      <c r="M350" s="165"/>
      <c r="N350" s="252"/>
      <c r="O350" s="166"/>
      <c r="P350" s="164"/>
      <c r="Q350" s="51"/>
      <c r="R350" s="165"/>
      <c r="S350" s="252"/>
      <c r="T350" s="166"/>
      <c r="U350" s="167"/>
    </row>
    <row r="351" spans="1:21" ht="32.25" customHeight="1">
      <c r="A351" s="18" t="s">
        <v>738</v>
      </c>
      <c r="B351" s="1097" t="s">
        <v>334</v>
      </c>
      <c r="C351" s="134" t="s">
        <v>89</v>
      </c>
      <c r="D351" s="651">
        <v>10000</v>
      </c>
      <c r="E351" s="659">
        <v>10000</v>
      </c>
      <c r="F351" s="650"/>
      <c r="G351" s="654"/>
      <c r="H351" s="257"/>
      <c r="I351" s="258"/>
      <c r="J351" s="258"/>
      <c r="K351" s="212"/>
      <c r="L351" s="359"/>
      <c r="M351" s="259"/>
      <c r="N351" s="258"/>
      <c r="O351" s="258"/>
      <c r="P351" s="212"/>
      <c r="Q351" s="135"/>
      <c r="R351" s="259"/>
      <c r="S351" s="258"/>
      <c r="T351" s="258"/>
      <c r="U351" s="260"/>
    </row>
    <row r="352" spans="1:21" ht="76.5" customHeight="1">
      <c r="A352" s="1089" t="s">
        <v>353</v>
      </c>
      <c r="B352" s="676" t="s">
        <v>375</v>
      </c>
      <c r="C352" s="64" t="s">
        <v>89</v>
      </c>
      <c r="D352" s="651">
        <v>7000</v>
      </c>
      <c r="E352" s="659">
        <v>7000</v>
      </c>
      <c r="F352" s="650"/>
      <c r="G352" s="654"/>
      <c r="H352" s="173"/>
      <c r="I352" s="166"/>
      <c r="J352" s="166"/>
      <c r="K352" s="164"/>
      <c r="L352" s="354"/>
      <c r="M352" s="165"/>
      <c r="N352" s="166"/>
      <c r="O352" s="166"/>
      <c r="P352" s="164"/>
      <c r="Q352" s="51"/>
      <c r="R352" s="165"/>
      <c r="S352" s="166"/>
      <c r="T352" s="166"/>
      <c r="U352" s="167"/>
    </row>
    <row r="353" spans="1:21" ht="30" customHeight="1" thickBot="1">
      <c r="A353" s="94" t="s">
        <v>566</v>
      </c>
      <c r="B353" s="1098" t="s">
        <v>376</v>
      </c>
      <c r="C353" s="72" t="s">
        <v>89</v>
      </c>
      <c r="D353" s="302">
        <v>8000</v>
      </c>
      <c r="E353" s="240">
        <v>8000</v>
      </c>
      <c r="F353" s="303"/>
      <c r="G353" s="305"/>
      <c r="H353" s="173"/>
      <c r="I353" s="166"/>
      <c r="J353" s="166"/>
      <c r="K353" s="164"/>
      <c r="L353" s="354"/>
      <c r="M353" s="165"/>
      <c r="N353" s="166"/>
      <c r="O353" s="166"/>
      <c r="P353" s="164"/>
      <c r="Q353" s="63"/>
      <c r="R353" s="165"/>
      <c r="S353" s="166"/>
      <c r="T353" s="166"/>
      <c r="U353" s="167"/>
    </row>
    <row r="354" spans="1:21" ht="58.5" customHeight="1" thickBot="1">
      <c r="A354" s="44" t="s">
        <v>87</v>
      </c>
      <c r="B354" s="820" t="s">
        <v>647</v>
      </c>
      <c r="C354" s="136"/>
      <c r="D354" s="306">
        <f t="shared" ref="D354:U354" si="32">SUM(D356)</f>
        <v>127500</v>
      </c>
      <c r="E354" s="677">
        <f t="shared" si="32"/>
        <v>127500</v>
      </c>
      <c r="F354" s="677">
        <f t="shared" si="32"/>
        <v>0</v>
      </c>
      <c r="G354" s="678">
        <f t="shared" si="32"/>
        <v>0</v>
      </c>
      <c r="H354" s="268">
        <f t="shared" si="32"/>
        <v>0</v>
      </c>
      <c r="I354" s="266">
        <f t="shared" si="32"/>
        <v>0</v>
      </c>
      <c r="J354" s="266">
        <f t="shared" si="32"/>
        <v>0</v>
      </c>
      <c r="K354" s="269">
        <f t="shared" si="32"/>
        <v>0</v>
      </c>
      <c r="L354" s="372"/>
      <c r="M354" s="268">
        <f t="shared" si="32"/>
        <v>327000</v>
      </c>
      <c r="N354" s="266">
        <f t="shared" si="32"/>
        <v>327000</v>
      </c>
      <c r="O354" s="266">
        <f t="shared" si="32"/>
        <v>0</v>
      </c>
      <c r="P354" s="269">
        <f t="shared" si="32"/>
        <v>0</v>
      </c>
      <c r="Q354" s="137"/>
      <c r="R354" s="270">
        <f t="shared" si="32"/>
        <v>0</v>
      </c>
      <c r="S354" s="271">
        <f t="shared" si="32"/>
        <v>0</v>
      </c>
      <c r="T354" s="271">
        <f t="shared" si="32"/>
        <v>0</v>
      </c>
      <c r="U354" s="272">
        <f t="shared" si="32"/>
        <v>0</v>
      </c>
    </row>
    <row r="355" spans="1:21">
      <c r="A355" s="41"/>
      <c r="B355" s="679" t="s">
        <v>544</v>
      </c>
      <c r="C355" s="103"/>
      <c r="D355" s="202"/>
      <c r="E355" s="203"/>
      <c r="F355" s="203"/>
      <c r="G355" s="206"/>
      <c r="H355" s="202"/>
      <c r="I355" s="203"/>
      <c r="J355" s="203"/>
      <c r="K355" s="204"/>
      <c r="L355" s="373"/>
      <c r="M355" s="202"/>
      <c r="N355" s="203"/>
      <c r="O355" s="203"/>
      <c r="P355" s="204"/>
      <c r="Q355" s="70"/>
      <c r="R355" s="202"/>
      <c r="S355" s="203"/>
      <c r="T355" s="203"/>
      <c r="U355" s="204"/>
    </row>
    <row r="356" spans="1:21" ht="36">
      <c r="A356" s="11" t="s">
        <v>86</v>
      </c>
      <c r="B356" s="107" t="s">
        <v>462</v>
      </c>
      <c r="C356" s="104"/>
      <c r="D356" s="182">
        <f>SUM(D358:D366)</f>
        <v>127500</v>
      </c>
      <c r="E356" s="180">
        <f>SUM(E358:E366)</f>
        <v>127500</v>
      </c>
      <c r="F356" s="180">
        <f>SUM(F358:F366)</f>
        <v>0</v>
      </c>
      <c r="G356" s="181">
        <f>SUM(G358:G366)</f>
        <v>0</v>
      </c>
      <c r="H356" s="182">
        <f>SUM(H358,H362,H363)</f>
        <v>0</v>
      </c>
      <c r="I356" s="180">
        <f>SUM(I358,I362,I363)</f>
        <v>0</v>
      </c>
      <c r="J356" s="180">
        <f>SUM(J358,J362,J363)</f>
        <v>0</v>
      </c>
      <c r="K356" s="183">
        <f>SUM(K358,K362,K363)</f>
        <v>0</v>
      </c>
      <c r="L356" s="360"/>
      <c r="M356" s="182">
        <f>SUM(M358:M366)</f>
        <v>327000</v>
      </c>
      <c r="N356" s="180">
        <f>SUM(N358:N366)</f>
        <v>327000</v>
      </c>
      <c r="O356" s="180">
        <f>SUM(O358:O366)</f>
        <v>0</v>
      </c>
      <c r="P356" s="183">
        <f>SUM(P358:P366)</f>
        <v>0</v>
      </c>
      <c r="Q356" s="77"/>
      <c r="R356" s="182">
        <f>SUM(R358,R362,R363)</f>
        <v>0</v>
      </c>
      <c r="S356" s="180">
        <f>SUM(S358,S362,S363)</f>
        <v>0</v>
      </c>
      <c r="T356" s="180">
        <f>SUM(T358,T362,T363)</f>
        <v>0</v>
      </c>
      <c r="U356" s="183">
        <f>SUM(U358,U362,U363)</f>
        <v>0</v>
      </c>
    </row>
    <row r="357" spans="1:21">
      <c r="A357" s="11"/>
      <c r="B357" s="108" t="s">
        <v>16</v>
      </c>
      <c r="C357" s="104"/>
      <c r="D357" s="182"/>
      <c r="E357" s="180"/>
      <c r="F357" s="180"/>
      <c r="G357" s="181"/>
      <c r="H357" s="182"/>
      <c r="I357" s="180"/>
      <c r="J357" s="180"/>
      <c r="K357" s="183"/>
      <c r="L357" s="374"/>
      <c r="M357" s="182"/>
      <c r="N357" s="180"/>
      <c r="O357" s="180"/>
      <c r="P357" s="183"/>
      <c r="Q357" s="71"/>
      <c r="R357" s="182"/>
      <c r="S357" s="180"/>
      <c r="T357" s="180"/>
      <c r="U357" s="183"/>
    </row>
    <row r="358" spans="1:21" ht="34.5" customHeight="1">
      <c r="A358" s="11" t="s">
        <v>85</v>
      </c>
      <c r="B358" s="1075" t="s">
        <v>473</v>
      </c>
      <c r="C358" s="105" t="s">
        <v>91</v>
      </c>
      <c r="D358" s="165">
        <v>46500</v>
      </c>
      <c r="E358" s="166">
        <f>+D358</f>
        <v>46500</v>
      </c>
      <c r="F358" s="180"/>
      <c r="G358" s="181"/>
      <c r="H358" s="165"/>
      <c r="I358" s="166"/>
      <c r="J358" s="180"/>
      <c r="K358" s="183"/>
      <c r="L358" s="361"/>
      <c r="M358" s="165"/>
      <c r="N358" s="166"/>
      <c r="O358" s="180"/>
      <c r="P358" s="183"/>
      <c r="Q358" s="69"/>
      <c r="R358" s="165"/>
      <c r="S358" s="166"/>
      <c r="T358" s="180"/>
      <c r="U358" s="183"/>
    </row>
    <row r="359" spans="1:21" ht="38.25" customHeight="1">
      <c r="A359" s="11" t="s">
        <v>84</v>
      </c>
      <c r="B359" s="1075" t="s">
        <v>347</v>
      </c>
      <c r="C359" s="105" t="s">
        <v>91</v>
      </c>
      <c r="D359" s="165">
        <v>27000</v>
      </c>
      <c r="E359" s="808">
        <f t="shared" ref="E359:E366" si="33">+D359</f>
        <v>27000</v>
      </c>
      <c r="F359" s="180"/>
      <c r="G359" s="181"/>
      <c r="H359" s="165"/>
      <c r="I359" s="166"/>
      <c r="J359" s="180"/>
      <c r="K359" s="183"/>
      <c r="L359" s="361"/>
      <c r="M359" s="165"/>
      <c r="N359" s="166"/>
      <c r="O359" s="180"/>
      <c r="P359" s="183"/>
      <c r="Q359" s="69"/>
      <c r="R359" s="165"/>
      <c r="S359" s="166"/>
      <c r="T359" s="180"/>
      <c r="U359" s="183"/>
    </row>
    <row r="360" spans="1:21" ht="24" customHeight="1">
      <c r="A360" s="657" t="s">
        <v>180</v>
      </c>
      <c r="B360" s="1075" t="s">
        <v>648</v>
      </c>
      <c r="C360" s="105" t="s">
        <v>91</v>
      </c>
      <c r="D360" s="631">
        <v>2000</v>
      </c>
      <c r="E360" s="808">
        <f t="shared" si="33"/>
        <v>2000</v>
      </c>
      <c r="F360" s="180"/>
      <c r="G360" s="181"/>
      <c r="H360" s="631"/>
      <c r="I360" s="630"/>
      <c r="J360" s="180"/>
      <c r="K360" s="183"/>
      <c r="L360" s="361"/>
      <c r="M360" s="631"/>
      <c r="N360" s="630"/>
      <c r="O360" s="180"/>
      <c r="P360" s="183"/>
      <c r="Q360" s="69"/>
      <c r="R360" s="631"/>
      <c r="S360" s="630"/>
      <c r="T360" s="180"/>
      <c r="U360" s="183"/>
    </row>
    <row r="361" spans="1:21" ht="37.5" customHeight="1">
      <c r="A361" s="657" t="s">
        <v>247</v>
      </c>
      <c r="B361" s="1075" t="s">
        <v>560</v>
      </c>
      <c r="C361" s="105" t="s">
        <v>91</v>
      </c>
      <c r="D361" s="631">
        <v>5000</v>
      </c>
      <c r="E361" s="808">
        <f t="shared" si="33"/>
        <v>5000</v>
      </c>
      <c r="F361" s="180"/>
      <c r="G361" s="181"/>
      <c r="H361" s="631"/>
      <c r="I361" s="630"/>
      <c r="J361" s="180"/>
      <c r="K361" s="183"/>
      <c r="L361" s="361"/>
      <c r="M361" s="631"/>
      <c r="N361" s="630"/>
      <c r="O361" s="180"/>
      <c r="P361" s="183"/>
      <c r="Q361" s="69"/>
      <c r="R361" s="631"/>
      <c r="S361" s="630"/>
      <c r="T361" s="180"/>
      <c r="U361" s="183"/>
    </row>
    <row r="362" spans="1:21" ht="39.75" customHeight="1">
      <c r="A362" s="657" t="s">
        <v>567</v>
      </c>
      <c r="B362" s="1075" t="s">
        <v>561</v>
      </c>
      <c r="C362" s="105" t="s">
        <v>89</v>
      </c>
      <c r="D362" s="165">
        <v>22000</v>
      </c>
      <c r="E362" s="808">
        <f t="shared" si="33"/>
        <v>22000</v>
      </c>
      <c r="F362" s="180"/>
      <c r="G362" s="181"/>
      <c r="H362" s="165"/>
      <c r="I362" s="166"/>
      <c r="J362" s="180"/>
      <c r="K362" s="183"/>
      <c r="L362" s="361"/>
      <c r="M362" s="165"/>
      <c r="N362" s="166"/>
      <c r="O362" s="180"/>
      <c r="P362" s="183"/>
      <c r="Q362" s="69"/>
      <c r="R362" s="165"/>
      <c r="S362" s="166"/>
      <c r="T362" s="180"/>
      <c r="U362" s="183"/>
    </row>
    <row r="363" spans="1:21" ht="28.5" customHeight="1">
      <c r="A363" s="657" t="s">
        <v>348</v>
      </c>
      <c r="B363" s="1075" t="s">
        <v>474</v>
      </c>
      <c r="C363" s="105" t="s">
        <v>89</v>
      </c>
      <c r="D363" s="165">
        <v>25000</v>
      </c>
      <c r="E363" s="808">
        <f t="shared" si="33"/>
        <v>25000</v>
      </c>
      <c r="F363" s="180"/>
      <c r="G363" s="181"/>
      <c r="H363" s="165"/>
      <c r="I363" s="166"/>
      <c r="J363" s="180"/>
      <c r="K363" s="183"/>
      <c r="L363" s="361"/>
      <c r="M363" s="165"/>
      <c r="N363" s="166"/>
      <c r="O363" s="180"/>
      <c r="P363" s="183"/>
      <c r="Q363" s="69"/>
      <c r="R363" s="165"/>
      <c r="S363" s="166"/>
      <c r="T363" s="180"/>
      <c r="U363" s="183"/>
    </row>
    <row r="364" spans="1:21" ht="27.75" customHeight="1" thickBot="1">
      <c r="A364" s="657" t="s">
        <v>568</v>
      </c>
      <c r="B364" s="1099" t="s">
        <v>649</v>
      </c>
      <c r="C364" s="645" t="s">
        <v>89</v>
      </c>
      <c r="D364" s="631"/>
      <c r="E364" s="808"/>
      <c r="F364" s="180"/>
      <c r="G364" s="181"/>
      <c r="H364" s="631"/>
      <c r="I364" s="630"/>
      <c r="J364" s="180"/>
      <c r="K364" s="183"/>
      <c r="L364" s="646" t="s">
        <v>483</v>
      </c>
      <c r="M364" s="631">
        <v>327000</v>
      </c>
      <c r="N364" s="630">
        <v>327000</v>
      </c>
      <c r="O364" s="180"/>
      <c r="P364" s="183"/>
      <c r="Q364" s="647"/>
      <c r="R364" s="550"/>
      <c r="S364" s="551"/>
      <c r="T364" s="280"/>
      <c r="U364" s="291"/>
    </row>
    <row r="365" spans="1:21" ht="25.5" hidden="1" customHeight="1">
      <c r="A365" s="657" t="s">
        <v>569</v>
      </c>
      <c r="B365" s="108"/>
      <c r="C365" s="645" t="s">
        <v>89</v>
      </c>
      <c r="D365" s="631"/>
      <c r="E365" s="808">
        <f t="shared" si="33"/>
        <v>0</v>
      </c>
      <c r="F365" s="180"/>
      <c r="G365" s="181"/>
      <c r="H365" s="631"/>
      <c r="I365" s="630"/>
      <c r="J365" s="180"/>
      <c r="K365" s="183"/>
      <c r="L365" s="646"/>
      <c r="M365" s="631"/>
      <c r="N365" s="630"/>
      <c r="O365" s="180"/>
      <c r="P365" s="183"/>
      <c r="Q365" s="647"/>
      <c r="R365" s="550"/>
      <c r="S365" s="551"/>
      <c r="T365" s="280"/>
      <c r="U365" s="291"/>
    </row>
    <row r="366" spans="1:21" ht="48" hidden="1" customHeight="1" thickBot="1">
      <c r="A366" s="18"/>
      <c r="B366" s="345"/>
      <c r="C366" s="121" t="s">
        <v>89</v>
      </c>
      <c r="D366" s="326"/>
      <c r="E366" s="808">
        <f t="shared" si="33"/>
        <v>0</v>
      </c>
      <c r="F366" s="280"/>
      <c r="G366" s="346"/>
      <c r="H366" s="326"/>
      <c r="I366" s="324"/>
      <c r="J366" s="280"/>
      <c r="K366" s="291"/>
      <c r="L366" s="375"/>
      <c r="M366" s="347"/>
      <c r="N366" s="348"/>
      <c r="O366" s="280"/>
      <c r="P366" s="291"/>
      <c r="Q366" s="79"/>
      <c r="R366" s="259"/>
      <c r="S366" s="258"/>
      <c r="T366" s="280"/>
      <c r="U366" s="291"/>
    </row>
    <row r="367" spans="1:21" ht="57.75" thickBot="1">
      <c r="A367" s="17" t="s">
        <v>83</v>
      </c>
      <c r="B367" s="22" t="s">
        <v>650</v>
      </c>
      <c r="C367" s="133"/>
      <c r="D367" s="331">
        <f>SUM(D369,D387,D461)</f>
        <v>1776799</v>
      </c>
      <c r="E367" s="331">
        <f t="shared" ref="E367:G367" si="34">SUM(E369,E387,E461)</f>
        <v>1563269</v>
      </c>
      <c r="F367" s="331">
        <f t="shared" si="34"/>
        <v>0</v>
      </c>
      <c r="G367" s="331">
        <f t="shared" si="34"/>
        <v>213530</v>
      </c>
      <c r="H367" s="270">
        <f>SUM(H369,H387)</f>
        <v>0</v>
      </c>
      <c r="I367" s="271">
        <f>SUM(I369,I387)</f>
        <v>0</v>
      </c>
      <c r="J367" s="271">
        <f>SUM(J369,J387)</f>
        <v>0</v>
      </c>
      <c r="K367" s="272">
        <f>SUM(K369,K387)</f>
        <v>0</v>
      </c>
      <c r="L367" s="362"/>
      <c r="M367" s="268">
        <f>SUM(M369,M387)</f>
        <v>0</v>
      </c>
      <c r="N367" s="266">
        <f>SUM(N369,N387)</f>
        <v>0</v>
      </c>
      <c r="O367" s="266">
        <f>SUM(O369,O387)</f>
        <v>0</v>
      </c>
      <c r="P367" s="269">
        <f>SUM(P369,P387)</f>
        <v>0</v>
      </c>
      <c r="Q367" s="55"/>
      <c r="R367" s="270">
        <f>SUM(R369,R387)</f>
        <v>0</v>
      </c>
      <c r="S367" s="271">
        <f>SUM(S369,S387)</f>
        <v>0</v>
      </c>
      <c r="T367" s="271">
        <f>SUM(T369,T387)</f>
        <v>0</v>
      </c>
      <c r="U367" s="272">
        <f>SUM(U369,U387)</f>
        <v>0</v>
      </c>
    </row>
    <row r="368" spans="1:21">
      <c r="A368" s="41"/>
      <c r="B368" s="46" t="s">
        <v>18</v>
      </c>
      <c r="C368" s="74"/>
      <c r="D368" s="292"/>
      <c r="E368" s="293"/>
      <c r="F368" s="293"/>
      <c r="G368" s="294"/>
      <c r="H368" s="295"/>
      <c r="I368" s="293"/>
      <c r="J368" s="293"/>
      <c r="K368" s="294"/>
      <c r="L368" s="376"/>
      <c r="M368" s="295"/>
      <c r="N368" s="293"/>
      <c r="O368" s="293"/>
      <c r="P368" s="296"/>
      <c r="Q368" s="70"/>
      <c r="R368" s="295"/>
      <c r="S368" s="293"/>
      <c r="T368" s="293"/>
      <c r="U368" s="296"/>
    </row>
    <row r="369" spans="1:21" ht="36">
      <c r="A369" s="1127" t="s">
        <v>82</v>
      </c>
      <c r="B369" s="21" t="s">
        <v>460</v>
      </c>
      <c r="C369" s="26"/>
      <c r="D369" s="184">
        <f>SUM(D371:D386)</f>
        <v>521530</v>
      </c>
      <c r="E369" s="184">
        <f t="shared" ref="E369:G369" si="35">SUM(E371:E386)</f>
        <v>308000</v>
      </c>
      <c r="F369" s="184">
        <f t="shared" si="35"/>
        <v>0</v>
      </c>
      <c r="G369" s="184">
        <f t="shared" si="35"/>
        <v>213530</v>
      </c>
      <c r="H369" s="187">
        <f>SUM(H372:H381)</f>
        <v>0</v>
      </c>
      <c r="I369" s="185">
        <f>SUM(I372:I381)</f>
        <v>0</v>
      </c>
      <c r="J369" s="185">
        <f>SUM(J372:J381)</f>
        <v>0</v>
      </c>
      <c r="K369" s="186">
        <f>SUM(K372:K381)</f>
        <v>0</v>
      </c>
      <c r="L369" s="377"/>
      <c r="M369" s="187">
        <f>SUM(M370:M386)</f>
        <v>0</v>
      </c>
      <c r="N369" s="185">
        <f>SUM(N370:N386)</f>
        <v>0</v>
      </c>
      <c r="O369" s="185">
        <f>SUM(O370:O386)</f>
        <v>0</v>
      </c>
      <c r="P369" s="188">
        <f>SUM(P370:P386)</f>
        <v>0</v>
      </c>
      <c r="Q369" s="389"/>
      <c r="R369" s="187">
        <f>SUM(R372:R381)</f>
        <v>0</v>
      </c>
      <c r="S369" s="185">
        <f>SUM(S372:S381)</f>
        <v>0</v>
      </c>
      <c r="T369" s="185">
        <f>SUM(T372:T381)</f>
        <v>0</v>
      </c>
      <c r="U369" s="188">
        <f>SUM(U372:U381)</f>
        <v>0</v>
      </c>
    </row>
    <row r="370" spans="1:21">
      <c r="A370" s="1127"/>
      <c r="B370" s="20" t="s">
        <v>16</v>
      </c>
      <c r="C370" s="30"/>
      <c r="D370" s="289"/>
      <c r="E370" s="287"/>
      <c r="F370" s="287"/>
      <c r="G370" s="290"/>
      <c r="H370" s="286"/>
      <c r="I370" s="287"/>
      <c r="J370" s="287"/>
      <c r="K370" s="290"/>
      <c r="L370" s="353"/>
      <c r="M370" s="286"/>
      <c r="N370" s="287"/>
      <c r="O370" s="287"/>
      <c r="P370" s="288"/>
      <c r="Q370" s="71"/>
      <c r="R370" s="286"/>
      <c r="S370" s="287"/>
      <c r="T370" s="287"/>
      <c r="U370" s="288"/>
    </row>
    <row r="371" spans="1:21" ht="18.75" customHeight="1">
      <c r="A371" s="1127" t="s">
        <v>463</v>
      </c>
      <c r="B371" s="676" t="s">
        <v>227</v>
      </c>
      <c r="C371" s="25" t="s">
        <v>357</v>
      </c>
      <c r="D371" s="162">
        <v>5000</v>
      </c>
      <c r="E371" s="1119"/>
      <c r="F371" s="1110"/>
      <c r="G371" s="1109">
        <v>5000</v>
      </c>
      <c r="H371" s="1108"/>
      <c r="I371" s="1110"/>
      <c r="J371" s="1110"/>
      <c r="K371" s="1109"/>
      <c r="L371" s="378"/>
      <c r="M371" s="1108"/>
      <c r="N371" s="1110"/>
      <c r="O371" s="1110"/>
      <c r="P371" s="1122"/>
      <c r="Q371" s="390"/>
      <c r="R371" s="1108"/>
      <c r="S371" s="1110"/>
      <c r="T371" s="1110"/>
      <c r="U371" s="1122"/>
    </row>
    <row r="372" spans="1:21" ht="24.75" customHeight="1">
      <c r="A372" s="1127" t="s">
        <v>81</v>
      </c>
      <c r="B372" s="676" t="s">
        <v>79</v>
      </c>
      <c r="C372" s="25" t="s">
        <v>346</v>
      </c>
      <c r="D372" s="173">
        <v>15000</v>
      </c>
      <c r="E372" s="1119">
        <v>15000</v>
      </c>
      <c r="F372" s="1119"/>
      <c r="G372" s="297"/>
      <c r="H372" s="1108"/>
      <c r="I372" s="1110"/>
      <c r="J372" s="1110"/>
      <c r="K372" s="297"/>
      <c r="L372" s="378"/>
      <c r="M372" s="1108"/>
      <c r="N372" s="1110"/>
      <c r="O372" s="1110"/>
      <c r="P372" s="298"/>
      <c r="Q372" s="390"/>
      <c r="R372" s="1108"/>
      <c r="S372" s="1110"/>
      <c r="T372" s="1110"/>
      <c r="U372" s="298"/>
    </row>
    <row r="373" spans="1:21" ht="18.75" customHeight="1">
      <c r="A373" s="1127" t="s">
        <v>585</v>
      </c>
      <c r="B373" s="676" t="s">
        <v>248</v>
      </c>
      <c r="C373" s="40" t="s">
        <v>346</v>
      </c>
      <c r="D373" s="177">
        <v>2000</v>
      </c>
      <c r="E373" s="1119">
        <v>2000</v>
      </c>
      <c r="F373" s="1110"/>
      <c r="G373" s="1109"/>
      <c r="H373" s="1108"/>
      <c r="I373" s="1110"/>
      <c r="J373" s="1110"/>
      <c r="K373" s="1109"/>
      <c r="L373" s="378"/>
      <c r="M373" s="1108"/>
      <c r="N373" s="1110"/>
      <c r="O373" s="1110"/>
      <c r="P373" s="1122"/>
      <c r="Q373" s="390"/>
      <c r="R373" s="1108"/>
      <c r="S373" s="1110"/>
      <c r="T373" s="1110"/>
      <c r="U373" s="1122"/>
    </row>
    <row r="374" spans="1:21" ht="25.5" customHeight="1">
      <c r="A374" s="1127" t="s">
        <v>271</v>
      </c>
      <c r="B374" s="676" t="s">
        <v>226</v>
      </c>
      <c r="C374" s="25" t="s">
        <v>346</v>
      </c>
      <c r="D374" s="162">
        <v>58030</v>
      </c>
      <c r="E374" s="1119">
        <v>45000</v>
      </c>
      <c r="F374" s="1119"/>
      <c r="G374" s="1109">
        <v>13030</v>
      </c>
      <c r="H374" s="1108"/>
      <c r="I374" s="1110"/>
      <c r="J374" s="1110"/>
      <c r="K374" s="1109"/>
      <c r="L374" s="378"/>
      <c r="M374" s="1108"/>
      <c r="N374" s="1110"/>
      <c r="O374" s="1110"/>
      <c r="P374" s="1122"/>
      <c r="Q374" s="390"/>
      <c r="R374" s="1108"/>
      <c r="S374" s="1110"/>
      <c r="T374" s="1110"/>
      <c r="U374" s="1122"/>
    </row>
    <row r="375" spans="1:21" ht="38.25" customHeight="1">
      <c r="A375" s="1127" t="s">
        <v>78</v>
      </c>
      <c r="B375" s="676" t="s">
        <v>652</v>
      </c>
      <c r="C375" s="25" t="s">
        <v>89</v>
      </c>
      <c r="D375" s="162">
        <v>9000</v>
      </c>
      <c r="E375" s="1119">
        <v>8000</v>
      </c>
      <c r="F375" s="1119"/>
      <c r="G375" s="1109">
        <v>1000</v>
      </c>
      <c r="H375" s="1108"/>
      <c r="I375" s="1110"/>
      <c r="J375" s="1110"/>
      <c r="K375" s="1109"/>
      <c r="L375" s="378"/>
      <c r="M375" s="1108"/>
      <c r="N375" s="1110"/>
      <c r="O375" s="1110"/>
      <c r="P375" s="1122"/>
      <c r="Q375" s="390"/>
      <c r="R375" s="1108"/>
      <c r="S375" s="1110"/>
      <c r="T375" s="1110"/>
      <c r="U375" s="1122"/>
    </row>
    <row r="376" spans="1:21" ht="18" customHeight="1">
      <c r="A376" s="1127" t="s">
        <v>77</v>
      </c>
      <c r="B376" s="1094" t="s">
        <v>219</v>
      </c>
      <c r="C376" s="29" t="s">
        <v>91</v>
      </c>
      <c r="D376" s="162">
        <v>4000</v>
      </c>
      <c r="E376" s="1119">
        <v>4000</v>
      </c>
      <c r="F376" s="1110"/>
      <c r="G376" s="1109"/>
      <c r="H376" s="1108"/>
      <c r="I376" s="1110"/>
      <c r="J376" s="1110"/>
      <c r="K376" s="1109"/>
      <c r="L376" s="378"/>
      <c r="M376" s="1108"/>
      <c r="N376" s="1110"/>
      <c r="O376" s="1110"/>
      <c r="P376" s="1122"/>
      <c r="Q376" s="390"/>
      <c r="R376" s="1108"/>
      <c r="S376" s="1110"/>
      <c r="T376" s="1110"/>
      <c r="U376" s="1122"/>
    </row>
    <row r="377" spans="1:21" ht="40.5" customHeight="1">
      <c r="A377" s="1127" t="s">
        <v>76</v>
      </c>
      <c r="B377" s="676" t="s">
        <v>545</v>
      </c>
      <c r="C377" s="25" t="s">
        <v>346</v>
      </c>
      <c r="D377" s="162">
        <v>2000</v>
      </c>
      <c r="E377" s="1119"/>
      <c r="F377" s="1119"/>
      <c r="G377" s="1109">
        <v>2000</v>
      </c>
      <c r="H377" s="1108"/>
      <c r="I377" s="1110"/>
      <c r="J377" s="1110"/>
      <c r="K377" s="1109"/>
      <c r="L377" s="378"/>
      <c r="M377" s="1108"/>
      <c r="N377" s="1110"/>
      <c r="O377" s="1110"/>
      <c r="P377" s="1122"/>
      <c r="Q377" s="390"/>
      <c r="R377" s="1108"/>
      <c r="S377" s="1110"/>
      <c r="T377" s="1110"/>
      <c r="U377" s="1122"/>
    </row>
    <row r="378" spans="1:21" ht="18" customHeight="1">
      <c r="A378" s="1127" t="s">
        <v>75</v>
      </c>
      <c r="B378" s="1094" t="s">
        <v>322</v>
      </c>
      <c r="C378" s="75" t="s">
        <v>355</v>
      </c>
      <c r="D378" s="162">
        <v>80000</v>
      </c>
      <c r="E378" s="1119">
        <v>30000</v>
      </c>
      <c r="F378" s="1110"/>
      <c r="G378" s="1109">
        <v>50000</v>
      </c>
      <c r="H378" s="1108"/>
      <c r="I378" s="1110"/>
      <c r="J378" s="1110"/>
      <c r="K378" s="1109"/>
      <c r="L378" s="378"/>
      <c r="M378" s="1108"/>
      <c r="N378" s="1110"/>
      <c r="O378" s="1110"/>
      <c r="P378" s="1122"/>
      <c r="Q378" s="390"/>
      <c r="R378" s="1108"/>
      <c r="S378" s="1110"/>
      <c r="T378" s="1110"/>
      <c r="U378" s="1122"/>
    </row>
    <row r="379" spans="1:21" ht="25.5" customHeight="1">
      <c r="A379" s="1127" t="s">
        <v>330</v>
      </c>
      <c r="B379" s="676" t="s">
        <v>388</v>
      </c>
      <c r="C379" s="25" t="s">
        <v>346</v>
      </c>
      <c r="D379" s="162">
        <v>133000</v>
      </c>
      <c r="E379" s="1119"/>
      <c r="F379" s="1110"/>
      <c r="G379" s="1109">
        <v>133000</v>
      </c>
      <c r="H379" s="1108"/>
      <c r="I379" s="1110"/>
      <c r="J379" s="1110"/>
      <c r="K379" s="1109"/>
      <c r="L379" s="378"/>
      <c r="M379" s="1108"/>
      <c r="N379" s="1110"/>
      <c r="O379" s="1110"/>
      <c r="P379" s="1122"/>
      <c r="Q379" s="390"/>
      <c r="R379" s="1108"/>
      <c r="S379" s="1110"/>
      <c r="T379" s="1110"/>
      <c r="U379" s="1122"/>
    </row>
    <row r="380" spans="1:21" ht="21.75" customHeight="1">
      <c r="A380" s="1127" t="s">
        <v>715</v>
      </c>
      <c r="B380" s="676" t="s">
        <v>225</v>
      </c>
      <c r="C380" s="25" t="s">
        <v>346</v>
      </c>
      <c r="D380" s="162">
        <v>5000</v>
      </c>
      <c r="E380" s="1119"/>
      <c r="F380" s="1110"/>
      <c r="G380" s="1109">
        <v>5000</v>
      </c>
      <c r="H380" s="1108"/>
      <c r="I380" s="1110"/>
      <c r="J380" s="1110"/>
      <c r="K380" s="1109"/>
      <c r="L380" s="378"/>
      <c r="M380" s="1108"/>
      <c r="N380" s="1110"/>
      <c r="O380" s="1110"/>
      <c r="P380" s="1122"/>
      <c r="Q380" s="390"/>
      <c r="R380" s="1108"/>
      <c r="S380" s="1110"/>
      <c r="T380" s="1110"/>
      <c r="U380" s="1122"/>
    </row>
    <row r="381" spans="1:21" ht="18.75" customHeight="1">
      <c r="A381" s="1127" t="s">
        <v>586</v>
      </c>
      <c r="B381" s="676" t="s">
        <v>325</v>
      </c>
      <c r="C381" s="27" t="s">
        <v>346</v>
      </c>
      <c r="D381" s="162">
        <v>2000</v>
      </c>
      <c r="E381" s="1119">
        <v>2000</v>
      </c>
      <c r="F381" s="1110"/>
      <c r="G381" s="1109"/>
      <c r="H381" s="1108"/>
      <c r="I381" s="1110"/>
      <c r="J381" s="1110"/>
      <c r="K381" s="1109"/>
      <c r="L381" s="378"/>
      <c r="M381" s="1108"/>
      <c r="N381" s="1110"/>
      <c r="O381" s="1110"/>
      <c r="P381" s="1122"/>
      <c r="Q381" s="390"/>
      <c r="R381" s="1108"/>
      <c r="S381" s="1110"/>
      <c r="T381" s="1110"/>
      <c r="U381" s="1122"/>
    </row>
    <row r="382" spans="1:21" ht="29.25" customHeight="1">
      <c r="A382" s="821" t="s">
        <v>74</v>
      </c>
      <c r="B382" s="100" t="s">
        <v>360</v>
      </c>
      <c r="C382" s="75"/>
      <c r="D382" s="173">
        <v>4500</v>
      </c>
      <c r="E382" s="1119"/>
      <c r="F382" s="1110"/>
      <c r="G382" s="1109">
        <v>4500</v>
      </c>
      <c r="H382" s="1108"/>
      <c r="I382" s="1110"/>
      <c r="J382" s="1110"/>
      <c r="K382" s="1109"/>
      <c r="L382" s="378"/>
      <c r="M382" s="1108"/>
      <c r="N382" s="1110"/>
      <c r="O382" s="1110"/>
      <c r="P382" s="1122"/>
      <c r="Q382" s="390"/>
      <c r="R382" s="1108"/>
      <c r="S382" s="1110"/>
      <c r="T382" s="1110"/>
      <c r="U382" s="1122"/>
    </row>
    <row r="383" spans="1:21" ht="39.75" customHeight="1">
      <c r="A383" s="1127" t="s">
        <v>272</v>
      </c>
      <c r="B383" s="676" t="s">
        <v>653</v>
      </c>
      <c r="C383" s="27"/>
      <c r="D383" s="162">
        <v>32000</v>
      </c>
      <c r="E383" s="1119">
        <v>32000</v>
      </c>
      <c r="F383" s="1110"/>
      <c r="G383" s="1120"/>
      <c r="H383" s="1108"/>
      <c r="I383" s="1110"/>
      <c r="J383" s="1110"/>
      <c r="K383" s="1109"/>
      <c r="L383" s="378"/>
      <c r="M383" s="1108"/>
      <c r="N383" s="1110"/>
      <c r="O383" s="1110"/>
      <c r="P383" s="1122"/>
      <c r="Q383" s="390"/>
      <c r="R383" s="1108"/>
      <c r="S383" s="1110"/>
      <c r="T383" s="1110"/>
      <c r="U383" s="1122"/>
    </row>
    <row r="384" spans="1:21" ht="30" customHeight="1" thickBot="1">
      <c r="A384" s="14" t="s">
        <v>590</v>
      </c>
      <c r="B384" s="1101" t="s">
        <v>720</v>
      </c>
      <c r="C384" s="1247" t="s">
        <v>346</v>
      </c>
      <c r="D384" s="952">
        <v>170000</v>
      </c>
      <c r="E384" s="953">
        <v>170000</v>
      </c>
      <c r="F384" s="303"/>
      <c r="G384" s="1248"/>
      <c r="H384" s="302"/>
      <c r="I384" s="303"/>
      <c r="J384" s="303"/>
      <c r="K384" s="304"/>
      <c r="L384" s="954"/>
      <c r="M384" s="302"/>
      <c r="N384" s="303"/>
      <c r="O384" s="303"/>
      <c r="P384" s="305"/>
      <c r="Q384" s="955"/>
      <c r="R384" s="302"/>
      <c r="S384" s="303"/>
      <c r="T384" s="303"/>
      <c r="U384" s="305"/>
    </row>
    <row r="385" spans="1:21" ht="38.25" hidden="1" customHeight="1">
      <c r="A385" s="1243" t="s">
        <v>719</v>
      </c>
      <c r="B385" s="1244" t="s">
        <v>333</v>
      </c>
      <c r="C385" s="1245" t="s">
        <v>89</v>
      </c>
      <c r="D385" s="273"/>
      <c r="E385" s="1246"/>
      <c r="F385" s="274"/>
      <c r="G385" s="275"/>
      <c r="H385" s="757"/>
      <c r="I385" s="274"/>
      <c r="J385" s="274"/>
      <c r="K385" s="275"/>
      <c r="L385" s="940" t="s">
        <v>483</v>
      </c>
      <c r="M385" s="757"/>
      <c r="N385" s="274"/>
      <c r="O385" s="274"/>
      <c r="P385" s="1125"/>
      <c r="Q385" s="942"/>
      <c r="R385" s="757"/>
      <c r="S385" s="274"/>
      <c r="T385" s="274"/>
      <c r="U385" s="1125"/>
    </row>
    <row r="386" spans="1:21" ht="38.25" hidden="1" customHeight="1">
      <c r="A386" s="45"/>
      <c r="B386" s="73"/>
      <c r="C386" s="31" t="s">
        <v>251</v>
      </c>
      <c r="D386" s="173"/>
      <c r="E386" s="163">
        <f t="shared" ref="E386" si="36">D386-G386</f>
        <v>0</v>
      </c>
      <c r="F386" s="166"/>
      <c r="G386" s="164"/>
      <c r="H386" s="165"/>
      <c r="I386" s="166"/>
      <c r="J386" s="166"/>
      <c r="K386" s="164"/>
      <c r="L386" s="378" t="s">
        <v>483</v>
      </c>
      <c r="M386" s="328"/>
      <c r="N386" s="387"/>
      <c r="O386" s="387"/>
      <c r="P386" s="388"/>
      <c r="Q386" s="390"/>
      <c r="R386" s="165"/>
      <c r="S386" s="166"/>
      <c r="T386" s="166"/>
      <c r="U386" s="167"/>
    </row>
    <row r="387" spans="1:21" ht="38.25">
      <c r="A387" s="11"/>
      <c r="B387" s="23" t="s">
        <v>174</v>
      </c>
      <c r="C387" s="26"/>
      <c r="D387" s="179">
        <f t="shared" ref="D387:K387" si="37">SUM(D389+D395+D401+D407+D413+D419+D425+D431+D437+D443+D449+D455)</f>
        <v>1245399</v>
      </c>
      <c r="E387" s="180">
        <f t="shared" si="37"/>
        <v>1245399</v>
      </c>
      <c r="F387" s="180">
        <f t="shared" si="37"/>
        <v>0</v>
      </c>
      <c r="G387" s="181">
        <f t="shared" si="37"/>
        <v>0</v>
      </c>
      <c r="H387" s="182">
        <f t="shared" si="37"/>
        <v>0</v>
      </c>
      <c r="I387" s="180">
        <f t="shared" si="37"/>
        <v>0</v>
      </c>
      <c r="J387" s="180">
        <f t="shared" si="37"/>
        <v>0</v>
      </c>
      <c r="K387" s="181">
        <f t="shared" si="37"/>
        <v>0</v>
      </c>
      <c r="L387" s="357"/>
      <c r="M387" s="182">
        <f>SUM(M389+M395+M401+M407+M413+M419+M425+M431+M437+M443+M449+M455)</f>
        <v>0</v>
      </c>
      <c r="N387" s="180">
        <f>SUM(N389+N395+N401+N407+N413+N419+N425+N431+N437+N443+N449+N455)</f>
        <v>0</v>
      </c>
      <c r="O387" s="180">
        <f>SUM(O389+O395+O401+O407+O413+O419+O425+O431+O437+O443+O449+O455)</f>
        <v>0</v>
      </c>
      <c r="P387" s="183">
        <f>SUM(P389+P395+P401+P407+P413+P419+P425+P431+P437+P443+P449+P455)</f>
        <v>0</v>
      </c>
      <c r="Q387" s="77"/>
      <c r="R387" s="182">
        <f>SUM(R389+R395+R401+R407+R413+R419+R425+R431+R437+R443+R449+R455)</f>
        <v>0</v>
      </c>
      <c r="S387" s="180">
        <f>SUM(S389+S395+S401+S407+S413+S419+S425+S431+S437+S443+S449+S455)</f>
        <v>0</v>
      </c>
      <c r="T387" s="180">
        <f>SUM(T389+T395+T401+T407+T413+T419+T425+T431+T437+T443+T449+T455)</f>
        <v>0</v>
      </c>
      <c r="U387" s="183">
        <f>SUM(U389+U395+U401+U407+U413+U419+U425+U431+U437+U443+U449+U455)</f>
        <v>0</v>
      </c>
    </row>
    <row r="388" spans="1:21">
      <c r="A388" s="11"/>
      <c r="B388" s="676" t="s">
        <v>18</v>
      </c>
      <c r="C388" s="26"/>
      <c r="D388" s="179"/>
      <c r="E388" s="180"/>
      <c r="F388" s="180"/>
      <c r="G388" s="181"/>
      <c r="H388" s="182"/>
      <c r="I388" s="180"/>
      <c r="J388" s="180"/>
      <c r="K388" s="181"/>
      <c r="L388" s="357"/>
      <c r="M388" s="182"/>
      <c r="N388" s="180"/>
      <c r="O388" s="180"/>
      <c r="P388" s="183"/>
      <c r="Q388" s="77"/>
      <c r="R388" s="182"/>
      <c r="S388" s="180"/>
      <c r="T388" s="180"/>
      <c r="U388" s="183"/>
    </row>
    <row r="389" spans="1:21" ht="21" customHeight="1">
      <c r="A389" s="745" t="s">
        <v>73</v>
      </c>
      <c r="B389" s="522" t="s">
        <v>72</v>
      </c>
      <c r="C389" s="26"/>
      <c r="D389" s="190">
        <f>SUM(D391:D394)</f>
        <v>94744</v>
      </c>
      <c r="E389" s="190">
        <f>SUM(E391:E394)</f>
        <v>94744</v>
      </c>
      <c r="F389" s="179">
        <f>SUM(F391:F394)</f>
        <v>0</v>
      </c>
      <c r="G389" s="179">
        <f>SUM(G391:G394)</f>
        <v>0</v>
      </c>
      <c r="H389" s="182">
        <f>SUM(H391:H392)</f>
        <v>0</v>
      </c>
      <c r="I389" s="180">
        <f>SUM(I391:I392)</f>
        <v>0</v>
      </c>
      <c r="J389" s="180">
        <f>SUM(J391,J392)</f>
        <v>0</v>
      </c>
      <c r="K389" s="181">
        <f>SUM(K391,K392)</f>
        <v>0</v>
      </c>
      <c r="L389" s="357"/>
      <c r="M389" s="182">
        <f>SUM(M391:M392)</f>
        <v>0</v>
      </c>
      <c r="N389" s="180">
        <f>SUM(N391:N392)</f>
        <v>0</v>
      </c>
      <c r="O389" s="180">
        <f>SUM(O391,O392)</f>
        <v>0</v>
      </c>
      <c r="P389" s="183">
        <f>SUM(P391,P392)</f>
        <v>0</v>
      </c>
      <c r="Q389" s="77"/>
      <c r="R389" s="182">
        <f>SUM(R391:R392)</f>
        <v>0</v>
      </c>
      <c r="S389" s="180">
        <f>SUM(S391:S392)</f>
        <v>0</v>
      </c>
      <c r="T389" s="180">
        <f>SUM(T391,T392)</f>
        <v>0</v>
      </c>
      <c r="U389" s="183">
        <f>SUM(U391,U392)</f>
        <v>0</v>
      </c>
    </row>
    <row r="390" spans="1:21">
      <c r="A390" s="11"/>
      <c r="B390" s="20" t="s">
        <v>27</v>
      </c>
      <c r="C390" s="25"/>
      <c r="D390" s="299"/>
      <c r="E390" s="89"/>
      <c r="F390" s="166"/>
      <c r="G390" s="164"/>
      <c r="H390" s="300"/>
      <c r="I390" s="166"/>
      <c r="J390" s="166"/>
      <c r="K390" s="164"/>
      <c r="L390" s="353"/>
      <c r="M390" s="300"/>
      <c r="N390" s="387"/>
      <c r="O390" s="387"/>
      <c r="P390" s="388"/>
      <c r="Q390" s="71"/>
      <c r="R390" s="300"/>
      <c r="S390" s="166"/>
      <c r="T390" s="166"/>
      <c r="U390" s="167"/>
    </row>
    <row r="391" spans="1:21" ht="18" customHeight="1">
      <c r="A391" s="11" t="s">
        <v>71</v>
      </c>
      <c r="B391" s="676" t="s">
        <v>25</v>
      </c>
      <c r="C391" s="31" t="s">
        <v>175</v>
      </c>
      <c r="D391" s="177">
        <f>56300+2581</f>
        <v>58881</v>
      </c>
      <c r="E391" s="89">
        <f>+D391</f>
        <v>58881</v>
      </c>
      <c r="F391" s="166"/>
      <c r="G391" s="164"/>
      <c r="H391" s="165"/>
      <c r="I391" s="166"/>
      <c r="J391" s="166"/>
      <c r="K391" s="164"/>
      <c r="L391" s="354"/>
      <c r="M391" s="328"/>
      <c r="N391" s="387"/>
      <c r="O391" s="387"/>
      <c r="P391" s="388"/>
      <c r="Q391" s="130"/>
      <c r="R391" s="165"/>
      <c r="S391" s="166"/>
      <c r="T391" s="166"/>
      <c r="U391" s="167"/>
    </row>
    <row r="392" spans="1:21" ht="26.25" customHeight="1">
      <c r="A392" s="11" t="s">
        <v>70</v>
      </c>
      <c r="B392" s="676" t="s">
        <v>23</v>
      </c>
      <c r="C392" s="31" t="s">
        <v>305</v>
      </c>
      <c r="D392" s="177">
        <f>17600+4997</f>
        <v>22597</v>
      </c>
      <c r="E392" s="999">
        <f t="shared" ref="E392:E394" si="38">+D392</f>
        <v>22597</v>
      </c>
      <c r="F392" s="166"/>
      <c r="G392" s="164"/>
      <c r="H392" s="165"/>
      <c r="I392" s="166"/>
      <c r="J392" s="166"/>
      <c r="K392" s="164"/>
      <c r="L392" s="354"/>
      <c r="M392" s="328"/>
      <c r="N392" s="387"/>
      <c r="O392" s="387"/>
      <c r="P392" s="388"/>
      <c r="Q392" s="130"/>
      <c r="R392" s="165"/>
      <c r="S392" s="166"/>
      <c r="T392" s="166"/>
      <c r="U392" s="167"/>
    </row>
    <row r="393" spans="1:21" ht="18.75" customHeight="1">
      <c r="A393" s="11" t="s">
        <v>249</v>
      </c>
      <c r="B393" s="676" t="s">
        <v>250</v>
      </c>
      <c r="C393" s="31" t="s">
        <v>251</v>
      </c>
      <c r="D393" s="177">
        <f>9800+1066</f>
        <v>10866</v>
      </c>
      <c r="E393" s="999">
        <f t="shared" si="38"/>
        <v>10866</v>
      </c>
      <c r="F393" s="166"/>
      <c r="G393" s="164"/>
      <c r="H393" s="165"/>
      <c r="I393" s="166"/>
      <c r="J393" s="166"/>
      <c r="K393" s="164"/>
      <c r="L393" s="354"/>
      <c r="M393" s="328"/>
      <c r="N393" s="387"/>
      <c r="O393" s="387"/>
      <c r="P393" s="388"/>
      <c r="Q393" s="130"/>
      <c r="R393" s="165"/>
      <c r="S393" s="166"/>
      <c r="T393" s="166"/>
      <c r="U393" s="167"/>
    </row>
    <row r="394" spans="1:21" ht="27.75" customHeight="1">
      <c r="A394" s="11" t="s">
        <v>361</v>
      </c>
      <c r="B394" s="676" t="s">
        <v>360</v>
      </c>
      <c r="C394" s="31" t="s">
        <v>89</v>
      </c>
      <c r="D394" s="177">
        <f>2400</f>
        <v>2400</v>
      </c>
      <c r="E394" s="999">
        <f t="shared" si="38"/>
        <v>2400</v>
      </c>
      <c r="F394" s="166"/>
      <c r="G394" s="164"/>
      <c r="H394" s="165"/>
      <c r="I394" s="166"/>
      <c r="J394" s="166"/>
      <c r="K394" s="164"/>
      <c r="L394" s="354"/>
      <c r="M394" s="328"/>
      <c r="N394" s="387"/>
      <c r="O394" s="387"/>
      <c r="P394" s="388"/>
      <c r="Q394" s="130"/>
      <c r="R394" s="165"/>
      <c r="S394" s="166"/>
      <c r="T394" s="166"/>
      <c r="U394" s="167"/>
    </row>
    <row r="395" spans="1:21" ht="19.5" customHeight="1">
      <c r="A395" s="745" t="s">
        <v>69</v>
      </c>
      <c r="B395" s="611" t="s">
        <v>68</v>
      </c>
      <c r="C395" s="26"/>
      <c r="D395" s="190">
        <f>SUM(D397:D400)</f>
        <v>89014</v>
      </c>
      <c r="E395" s="190">
        <f>SUM(E397:E400)</f>
        <v>89014</v>
      </c>
      <c r="F395" s="179">
        <f>SUM(F397:F400)</f>
        <v>0</v>
      </c>
      <c r="G395" s="179">
        <f>SUM(G397:G400)</f>
        <v>0</v>
      </c>
      <c r="H395" s="182">
        <f t="shared" ref="H395:U395" si="39">SUM(H397,H398)</f>
        <v>0</v>
      </c>
      <c r="I395" s="180">
        <f t="shared" si="39"/>
        <v>0</v>
      </c>
      <c r="J395" s="180">
        <f t="shared" si="39"/>
        <v>0</v>
      </c>
      <c r="K395" s="181">
        <f t="shared" si="39"/>
        <v>0</v>
      </c>
      <c r="L395" s="357"/>
      <c r="M395" s="182">
        <f t="shared" si="39"/>
        <v>0</v>
      </c>
      <c r="N395" s="180">
        <f t="shared" si="39"/>
        <v>0</v>
      </c>
      <c r="O395" s="180">
        <f t="shared" si="39"/>
        <v>0</v>
      </c>
      <c r="P395" s="183">
        <f t="shared" si="39"/>
        <v>0</v>
      </c>
      <c r="Q395" s="77"/>
      <c r="R395" s="182">
        <f t="shared" si="39"/>
        <v>0</v>
      </c>
      <c r="S395" s="180">
        <f t="shared" si="39"/>
        <v>0</v>
      </c>
      <c r="T395" s="180">
        <f t="shared" si="39"/>
        <v>0</v>
      </c>
      <c r="U395" s="183">
        <f t="shared" si="39"/>
        <v>0</v>
      </c>
    </row>
    <row r="396" spans="1:21">
      <c r="A396" s="11"/>
      <c r="B396" s="20" t="s">
        <v>27</v>
      </c>
      <c r="C396" s="25"/>
      <c r="D396" s="177"/>
      <c r="E396" s="89"/>
      <c r="F396" s="166"/>
      <c r="G396" s="164"/>
      <c r="H396" s="165"/>
      <c r="I396" s="166"/>
      <c r="J396" s="166"/>
      <c r="K396" s="164"/>
      <c r="L396" s="353"/>
      <c r="M396" s="328"/>
      <c r="N396" s="387"/>
      <c r="O396" s="387"/>
      <c r="P396" s="388"/>
      <c r="Q396" s="71"/>
      <c r="R396" s="165"/>
      <c r="S396" s="166"/>
      <c r="T396" s="166"/>
      <c r="U396" s="167"/>
    </row>
    <row r="397" spans="1:21" ht="19.5" customHeight="1">
      <c r="A397" s="11" t="s">
        <v>67</v>
      </c>
      <c r="B397" s="676" t="s">
        <v>25</v>
      </c>
      <c r="C397" s="31" t="s">
        <v>175</v>
      </c>
      <c r="D397" s="177">
        <f>15000+3449</f>
        <v>18449</v>
      </c>
      <c r="E397" s="999">
        <f t="shared" ref="E397:E400" si="40">+D397</f>
        <v>18449</v>
      </c>
      <c r="F397" s="166"/>
      <c r="G397" s="164"/>
      <c r="H397" s="165"/>
      <c r="I397" s="166"/>
      <c r="J397" s="166"/>
      <c r="K397" s="164"/>
      <c r="L397" s="354"/>
      <c r="M397" s="328"/>
      <c r="N397" s="387"/>
      <c r="O397" s="387"/>
      <c r="P397" s="388"/>
      <c r="Q397" s="130"/>
      <c r="R397" s="165"/>
      <c r="S397" s="166"/>
      <c r="T397" s="166"/>
      <c r="U397" s="167"/>
    </row>
    <row r="398" spans="1:21" ht="24">
      <c r="A398" s="11" t="s">
        <v>66</v>
      </c>
      <c r="B398" s="676" t="s">
        <v>23</v>
      </c>
      <c r="C398" s="31" t="s">
        <v>305</v>
      </c>
      <c r="D398" s="177">
        <f>17400+5535</f>
        <v>22935</v>
      </c>
      <c r="E398" s="999">
        <f t="shared" si="40"/>
        <v>22935</v>
      </c>
      <c r="F398" s="166"/>
      <c r="G398" s="164"/>
      <c r="H398" s="165"/>
      <c r="I398" s="166"/>
      <c r="J398" s="166"/>
      <c r="K398" s="164"/>
      <c r="L398" s="354"/>
      <c r="M398" s="328"/>
      <c r="N398" s="387"/>
      <c r="O398" s="387"/>
      <c r="P398" s="388"/>
      <c r="Q398" s="130"/>
      <c r="R398" s="165"/>
      <c r="S398" s="166"/>
      <c r="T398" s="166"/>
      <c r="U398" s="167"/>
    </row>
    <row r="399" spans="1:21" ht="19.5" customHeight="1">
      <c r="A399" s="11" t="s">
        <v>273</v>
      </c>
      <c r="B399" s="676" t="s">
        <v>250</v>
      </c>
      <c r="C399" s="31" t="s">
        <v>251</v>
      </c>
      <c r="D399" s="177">
        <f>42200+2930</f>
        <v>45130</v>
      </c>
      <c r="E399" s="999">
        <f t="shared" si="40"/>
        <v>45130</v>
      </c>
      <c r="F399" s="166"/>
      <c r="G399" s="164"/>
      <c r="H399" s="165"/>
      <c r="I399" s="166"/>
      <c r="J399" s="166"/>
      <c r="K399" s="164"/>
      <c r="L399" s="354"/>
      <c r="M399" s="328"/>
      <c r="N399" s="387"/>
      <c r="O399" s="387"/>
      <c r="P399" s="388"/>
      <c r="Q399" s="130"/>
      <c r="R399" s="165"/>
      <c r="S399" s="166"/>
      <c r="T399" s="166"/>
      <c r="U399" s="167"/>
    </row>
    <row r="400" spans="1:21" ht="25.5" customHeight="1">
      <c r="A400" s="11" t="s">
        <v>362</v>
      </c>
      <c r="B400" s="676" t="s">
        <v>360</v>
      </c>
      <c r="C400" s="31" t="s">
        <v>89</v>
      </c>
      <c r="D400" s="177">
        <f>2500</f>
        <v>2500</v>
      </c>
      <c r="E400" s="999">
        <f t="shared" si="40"/>
        <v>2500</v>
      </c>
      <c r="F400" s="166"/>
      <c r="G400" s="164"/>
      <c r="H400" s="165"/>
      <c r="I400" s="166"/>
      <c r="J400" s="166"/>
      <c r="K400" s="164"/>
      <c r="L400" s="354"/>
      <c r="M400" s="328"/>
      <c r="N400" s="387"/>
      <c r="O400" s="387"/>
      <c r="P400" s="388"/>
      <c r="Q400" s="130"/>
      <c r="R400" s="165"/>
      <c r="S400" s="166"/>
      <c r="T400" s="166"/>
      <c r="U400" s="167"/>
    </row>
    <row r="401" spans="1:21" ht="18" customHeight="1">
      <c r="A401" s="745" t="s">
        <v>65</v>
      </c>
      <c r="B401" s="574" t="s">
        <v>64</v>
      </c>
      <c r="C401" s="26"/>
      <c r="D401" s="214">
        <f>SUM(D403:D406)</f>
        <v>50256</v>
      </c>
      <c r="E401" s="214">
        <f>SUM(E403:E406)</f>
        <v>50256</v>
      </c>
      <c r="F401" s="189">
        <f>SUM(F403:F406)</f>
        <v>0</v>
      </c>
      <c r="G401" s="189">
        <f>SUM(G403:G406)</f>
        <v>0</v>
      </c>
      <c r="H401" s="182">
        <f t="shared" ref="H401:U401" si="41">SUM(H403:H404)</f>
        <v>0</v>
      </c>
      <c r="I401" s="180">
        <f t="shared" si="41"/>
        <v>0</v>
      </c>
      <c r="J401" s="180">
        <f t="shared" si="41"/>
        <v>0</v>
      </c>
      <c r="K401" s="181">
        <f t="shared" si="41"/>
        <v>0</v>
      </c>
      <c r="L401" s="357"/>
      <c r="M401" s="182">
        <f t="shared" si="41"/>
        <v>0</v>
      </c>
      <c r="N401" s="180">
        <f t="shared" si="41"/>
        <v>0</v>
      </c>
      <c r="O401" s="180">
        <f t="shared" si="41"/>
        <v>0</v>
      </c>
      <c r="P401" s="183">
        <f t="shared" si="41"/>
        <v>0</v>
      </c>
      <c r="Q401" s="77"/>
      <c r="R401" s="182">
        <f t="shared" si="41"/>
        <v>0</v>
      </c>
      <c r="S401" s="180">
        <f t="shared" si="41"/>
        <v>0</v>
      </c>
      <c r="T401" s="180">
        <f t="shared" si="41"/>
        <v>0</v>
      </c>
      <c r="U401" s="183">
        <f t="shared" si="41"/>
        <v>0</v>
      </c>
    </row>
    <row r="402" spans="1:21">
      <c r="A402" s="11"/>
      <c r="B402" s="20" t="s">
        <v>27</v>
      </c>
      <c r="C402" s="25"/>
      <c r="D402" s="301"/>
      <c r="E402" s="208"/>
      <c r="F402" s="166"/>
      <c r="G402" s="164"/>
      <c r="H402" s="165"/>
      <c r="I402" s="166"/>
      <c r="J402" s="166"/>
      <c r="K402" s="164"/>
      <c r="L402" s="353"/>
      <c r="M402" s="328"/>
      <c r="N402" s="387"/>
      <c r="O402" s="387"/>
      <c r="P402" s="388"/>
      <c r="Q402" s="71"/>
      <c r="R402" s="165"/>
      <c r="S402" s="166"/>
      <c r="T402" s="166"/>
      <c r="U402" s="167"/>
    </row>
    <row r="403" spans="1:21" ht="18" customHeight="1">
      <c r="A403" s="11" t="s">
        <v>63</v>
      </c>
      <c r="B403" s="676" t="s">
        <v>25</v>
      </c>
      <c r="C403" s="31" t="s">
        <v>175</v>
      </c>
      <c r="D403" s="177">
        <f>8000+1</f>
        <v>8001</v>
      </c>
      <c r="E403" s="999">
        <f t="shared" ref="E403:E406" si="42">+D403</f>
        <v>8001</v>
      </c>
      <c r="F403" s="166"/>
      <c r="G403" s="164"/>
      <c r="H403" s="165"/>
      <c r="I403" s="166"/>
      <c r="J403" s="166"/>
      <c r="K403" s="164"/>
      <c r="L403" s="354"/>
      <c r="M403" s="328"/>
      <c r="N403" s="387"/>
      <c r="O403" s="387"/>
      <c r="P403" s="388"/>
      <c r="Q403" s="130"/>
      <c r="R403" s="165"/>
      <c r="S403" s="166"/>
      <c r="T403" s="166"/>
      <c r="U403" s="167"/>
    </row>
    <row r="404" spans="1:21" ht="22.5" customHeight="1">
      <c r="A404" s="11" t="s">
        <v>62</v>
      </c>
      <c r="B404" s="676" t="s">
        <v>23</v>
      </c>
      <c r="C404" s="31" t="s">
        <v>305</v>
      </c>
      <c r="D404" s="177">
        <f>9200+1912</f>
        <v>11112</v>
      </c>
      <c r="E404" s="999">
        <f t="shared" si="42"/>
        <v>11112</v>
      </c>
      <c r="F404" s="166"/>
      <c r="G404" s="164"/>
      <c r="H404" s="165"/>
      <c r="I404" s="166"/>
      <c r="J404" s="166"/>
      <c r="K404" s="164"/>
      <c r="L404" s="354"/>
      <c r="M404" s="328"/>
      <c r="N404" s="387"/>
      <c r="O404" s="387"/>
      <c r="P404" s="388"/>
      <c r="Q404" s="130"/>
      <c r="R404" s="165"/>
      <c r="S404" s="166"/>
      <c r="T404" s="166"/>
      <c r="U404" s="167"/>
    </row>
    <row r="405" spans="1:21" ht="19.5" customHeight="1">
      <c r="A405" s="11" t="s">
        <v>274</v>
      </c>
      <c r="B405" s="676" t="s">
        <v>250</v>
      </c>
      <c r="C405" s="31" t="s">
        <v>251</v>
      </c>
      <c r="D405" s="177">
        <f>24300+5343</f>
        <v>29643</v>
      </c>
      <c r="E405" s="999">
        <f t="shared" si="42"/>
        <v>29643</v>
      </c>
      <c r="F405" s="166"/>
      <c r="G405" s="164"/>
      <c r="H405" s="165"/>
      <c r="I405" s="166"/>
      <c r="J405" s="166"/>
      <c r="K405" s="164"/>
      <c r="L405" s="354"/>
      <c r="M405" s="328"/>
      <c r="N405" s="387"/>
      <c r="O405" s="387"/>
      <c r="P405" s="388"/>
      <c r="Q405" s="130"/>
      <c r="R405" s="165"/>
      <c r="S405" s="166"/>
      <c r="T405" s="166"/>
      <c r="U405" s="167"/>
    </row>
    <row r="406" spans="1:21" ht="24.75" customHeight="1">
      <c r="A406" s="11" t="s">
        <v>363</v>
      </c>
      <c r="B406" s="676" t="s">
        <v>360</v>
      </c>
      <c r="C406" s="31" t="s">
        <v>89</v>
      </c>
      <c r="D406" s="177">
        <f>1500</f>
        <v>1500</v>
      </c>
      <c r="E406" s="999">
        <f t="shared" si="42"/>
        <v>1500</v>
      </c>
      <c r="F406" s="166"/>
      <c r="G406" s="164"/>
      <c r="H406" s="165"/>
      <c r="I406" s="166"/>
      <c r="J406" s="166"/>
      <c r="K406" s="164"/>
      <c r="L406" s="354"/>
      <c r="M406" s="328"/>
      <c r="N406" s="387"/>
      <c r="O406" s="387"/>
      <c r="P406" s="388"/>
      <c r="Q406" s="130"/>
      <c r="R406" s="165"/>
      <c r="S406" s="166"/>
      <c r="T406" s="166"/>
      <c r="U406" s="167"/>
    </row>
    <row r="407" spans="1:21" ht="21" customHeight="1">
      <c r="A407" s="745" t="s">
        <v>61</v>
      </c>
      <c r="B407" s="559" t="s">
        <v>60</v>
      </c>
      <c r="C407" s="26"/>
      <c r="D407" s="190">
        <f>SUM(D409:D412)</f>
        <v>49229</v>
      </c>
      <c r="E407" s="190">
        <f>SUM(E409:E412)</f>
        <v>49229</v>
      </c>
      <c r="F407" s="179">
        <f>SUM(F409:F412)</f>
        <v>0</v>
      </c>
      <c r="G407" s="179">
        <f>SUM(G409:G412)</f>
        <v>0</v>
      </c>
      <c r="H407" s="182">
        <f>SUM(H409:H410)</f>
        <v>0</v>
      </c>
      <c r="I407" s="180">
        <f>SUM(I409:I410)</f>
        <v>0</v>
      </c>
      <c r="J407" s="180">
        <f>SUM(J409,J410)</f>
        <v>0</v>
      </c>
      <c r="K407" s="181">
        <f>SUM(K409,K410)</f>
        <v>0</v>
      </c>
      <c r="L407" s="357"/>
      <c r="M407" s="182">
        <f>SUM(M409:M410)</f>
        <v>0</v>
      </c>
      <c r="N407" s="180">
        <f>SUM(N409:N410)</f>
        <v>0</v>
      </c>
      <c r="O407" s="180">
        <f>SUM(O409,O410)</f>
        <v>0</v>
      </c>
      <c r="P407" s="183">
        <f>SUM(P409,P410)</f>
        <v>0</v>
      </c>
      <c r="Q407" s="77"/>
      <c r="R407" s="182">
        <f>SUM(R409:R410)</f>
        <v>0</v>
      </c>
      <c r="S407" s="180">
        <f>SUM(S409:S410)</f>
        <v>0</v>
      </c>
      <c r="T407" s="180">
        <f>SUM(T409,T410)</f>
        <v>0</v>
      </c>
      <c r="U407" s="183">
        <f>SUM(U409,U410)</f>
        <v>0</v>
      </c>
    </row>
    <row r="408" spans="1:21">
      <c r="A408" s="11"/>
      <c r="B408" s="20" t="s">
        <v>27</v>
      </c>
      <c r="C408" s="25"/>
      <c r="D408" s="177"/>
      <c r="E408" s="89"/>
      <c r="F408" s="166"/>
      <c r="G408" s="164"/>
      <c r="H408" s="165"/>
      <c r="I408" s="166"/>
      <c r="J408" s="166"/>
      <c r="K408" s="164"/>
      <c r="L408" s="353"/>
      <c r="M408" s="328"/>
      <c r="N408" s="387"/>
      <c r="O408" s="387"/>
      <c r="P408" s="388"/>
      <c r="Q408" s="71"/>
      <c r="R408" s="165"/>
      <c r="S408" s="166"/>
      <c r="T408" s="166"/>
      <c r="U408" s="167"/>
    </row>
    <row r="409" spans="1:21" ht="18.75" customHeight="1">
      <c r="A409" s="11" t="s">
        <v>59</v>
      </c>
      <c r="B409" s="676" t="s">
        <v>25</v>
      </c>
      <c r="C409" s="31" t="s">
        <v>175</v>
      </c>
      <c r="D409" s="177">
        <f>17000+7456</f>
        <v>24456</v>
      </c>
      <c r="E409" s="999">
        <f t="shared" ref="E409:E412" si="43">+D409</f>
        <v>24456</v>
      </c>
      <c r="F409" s="166"/>
      <c r="G409" s="164"/>
      <c r="H409" s="165"/>
      <c r="I409" s="166"/>
      <c r="J409" s="166"/>
      <c r="K409" s="164"/>
      <c r="L409" s="354"/>
      <c r="M409" s="328"/>
      <c r="N409" s="387"/>
      <c r="O409" s="387"/>
      <c r="P409" s="388"/>
      <c r="Q409" s="130"/>
      <c r="R409" s="165"/>
      <c r="S409" s="166"/>
      <c r="T409" s="166"/>
      <c r="U409" s="167"/>
    </row>
    <row r="410" spans="1:21" ht="25.5" customHeight="1">
      <c r="A410" s="11" t="s">
        <v>58</v>
      </c>
      <c r="B410" s="676" t="s">
        <v>23</v>
      </c>
      <c r="C410" s="31" t="s">
        <v>305</v>
      </c>
      <c r="D410" s="177">
        <f>2400+473</f>
        <v>2873</v>
      </c>
      <c r="E410" s="999">
        <f t="shared" si="43"/>
        <v>2873</v>
      </c>
      <c r="F410" s="166"/>
      <c r="G410" s="164"/>
      <c r="H410" s="165"/>
      <c r="I410" s="166"/>
      <c r="J410" s="166"/>
      <c r="K410" s="164"/>
      <c r="L410" s="354"/>
      <c r="M410" s="328"/>
      <c r="N410" s="387"/>
      <c r="O410" s="387"/>
      <c r="P410" s="388"/>
      <c r="Q410" s="130"/>
      <c r="R410" s="165"/>
      <c r="S410" s="166"/>
      <c r="T410" s="166"/>
      <c r="U410" s="167"/>
    </row>
    <row r="411" spans="1:21" ht="18" customHeight="1">
      <c r="A411" s="11" t="s">
        <v>275</v>
      </c>
      <c r="B411" s="676" t="s">
        <v>250</v>
      </c>
      <c r="C411" s="31" t="s">
        <v>251</v>
      </c>
      <c r="D411" s="177">
        <f>20700</f>
        <v>20700</v>
      </c>
      <c r="E411" s="999">
        <f t="shared" si="43"/>
        <v>20700</v>
      </c>
      <c r="F411" s="166"/>
      <c r="G411" s="164"/>
      <c r="H411" s="165"/>
      <c r="I411" s="166"/>
      <c r="J411" s="166"/>
      <c r="K411" s="164"/>
      <c r="L411" s="354"/>
      <c r="M411" s="328"/>
      <c r="N411" s="387"/>
      <c r="O411" s="387"/>
      <c r="P411" s="388"/>
      <c r="Q411" s="130"/>
      <c r="R411" s="165"/>
      <c r="S411" s="166"/>
      <c r="T411" s="166"/>
      <c r="U411" s="167"/>
    </row>
    <row r="412" spans="1:21" ht="27" customHeight="1">
      <c r="A412" s="11" t="s">
        <v>364</v>
      </c>
      <c r="B412" s="676" t="s">
        <v>360</v>
      </c>
      <c r="C412" s="31" t="s">
        <v>89</v>
      </c>
      <c r="D412" s="177">
        <f>1200</f>
        <v>1200</v>
      </c>
      <c r="E412" s="999">
        <f t="shared" si="43"/>
        <v>1200</v>
      </c>
      <c r="F412" s="166"/>
      <c r="G412" s="164"/>
      <c r="H412" s="165"/>
      <c r="I412" s="166"/>
      <c r="J412" s="166"/>
      <c r="K412" s="164"/>
      <c r="L412" s="354"/>
      <c r="M412" s="328"/>
      <c r="N412" s="387"/>
      <c r="O412" s="387"/>
      <c r="P412" s="388"/>
      <c r="Q412" s="130"/>
      <c r="R412" s="165"/>
      <c r="S412" s="166"/>
      <c r="T412" s="166"/>
      <c r="U412" s="167"/>
    </row>
    <row r="413" spans="1:21" ht="21" customHeight="1">
      <c r="A413" s="745" t="s">
        <v>57</v>
      </c>
      <c r="B413" s="611" t="s">
        <v>56</v>
      </c>
      <c r="C413" s="26"/>
      <c r="D413" s="190">
        <f>SUM(D415:D418)</f>
        <v>23339</v>
      </c>
      <c r="E413" s="190">
        <f>SUM(E415:E418)</f>
        <v>23339</v>
      </c>
      <c r="F413" s="179">
        <f>SUM(F415:F418)</f>
        <v>0</v>
      </c>
      <c r="G413" s="179">
        <f>SUM(G415:G418)</f>
        <v>0</v>
      </c>
      <c r="H413" s="182">
        <f>SUM(H415:H416)</f>
        <v>0</v>
      </c>
      <c r="I413" s="180">
        <f>SUM(I415:I416)</f>
        <v>0</v>
      </c>
      <c r="J413" s="180">
        <f>SUM(J415,J416)</f>
        <v>0</v>
      </c>
      <c r="K413" s="181">
        <f>SUM(K415,K416)</f>
        <v>0</v>
      </c>
      <c r="L413" s="357"/>
      <c r="M413" s="182">
        <f>SUM(M415:M416)</f>
        <v>0</v>
      </c>
      <c r="N413" s="180">
        <f>SUM(N415:N416)</f>
        <v>0</v>
      </c>
      <c r="O413" s="180">
        <f>SUM(O415,O416)</f>
        <v>0</v>
      </c>
      <c r="P413" s="183">
        <f>SUM(P415,P416)</f>
        <v>0</v>
      </c>
      <c r="Q413" s="77"/>
      <c r="R413" s="182">
        <f>SUM(R415:R416)</f>
        <v>0</v>
      </c>
      <c r="S413" s="180">
        <f>SUM(S415:S416)</f>
        <v>0</v>
      </c>
      <c r="T413" s="180">
        <f>SUM(T415,T416)</f>
        <v>0</v>
      </c>
      <c r="U413" s="183">
        <f>SUM(U415,U416)</f>
        <v>0</v>
      </c>
    </row>
    <row r="414" spans="1:21">
      <c r="A414" s="11"/>
      <c r="B414" s="20" t="s">
        <v>27</v>
      </c>
      <c r="C414" s="25"/>
      <c r="D414" s="177"/>
      <c r="E414" s="89"/>
      <c r="F414" s="166"/>
      <c r="G414" s="164"/>
      <c r="H414" s="165"/>
      <c r="I414" s="166"/>
      <c r="J414" s="166"/>
      <c r="K414" s="164"/>
      <c r="L414" s="353"/>
      <c r="M414" s="328"/>
      <c r="N414" s="387"/>
      <c r="O414" s="387"/>
      <c r="P414" s="388"/>
      <c r="Q414" s="71"/>
      <c r="R414" s="165"/>
      <c r="S414" s="166"/>
      <c r="T414" s="166"/>
      <c r="U414" s="167"/>
    </row>
    <row r="415" spans="1:21" ht="18.75" customHeight="1">
      <c r="A415" s="11" t="s">
        <v>55</v>
      </c>
      <c r="B415" s="676" t="s">
        <v>25</v>
      </c>
      <c r="C415" s="31" t="s">
        <v>175</v>
      </c>
      <c r="D415" s="177">
        <f>6600</f>
        <v>6600</v>
      </c>
      <c r="E415" s="999">
        <f t="shared" ref="E415:E418" si="44">+D415</f>
        <v>6600</v>
      </c>
      <c r="F415" s="166"/>
      <c r="G415" s="164"/>
      <c r="H415" s="165"/>
      <c r="I415" s="166"/>
      <c r="J415" s="166"/>
      <c r="K415" s="164"/>
      <c r="L415" s="354"/>
      <c r="M415" s="328"/>
      <c r="N415" s="387"/>
      <c r="O415" s="387"/>
      <c r="P415" s="388"/>
      <c r="Q415" s="130"/>
      <c r="R415" s="165"/>
      <c r="S415" s="166"/>
      <c r="T415" s="166"/>
      <c r="U415" s="167"/>
    </row>
    <row r="416" spans="1:21" ht="25.5" customHeight="1">
      <c r="A416" s="11" t="s">
        <v>54</v>
      </c>
      <c r="B416" s="676" t="s">
        <v>23</v>
      </c>
      <c r="C416" s="31" t="s">
        <v>305</v>
      </c>
      <c r="D416" s="177">
        <f>5500+719</f>
        <v>6219</v>
      </c>
      <c r="E416" s="999">
        <f t="shared" si="44"/>
        <v>6219</v>
      </c>
      <c r="F416" s="166"/>
      <c r="G416" s="164"/>
      <c r="H416" s="165"/>
      <c r="I416" s="166"/>
      <c r="J416" s="166"/>
      <c r="K416" s="164"/>
      <c r="L416" s="354"/>
      <c r="M416" s="328"/>
      <c r="N416" s="387"/>
      <c r="O416" s="387"/>
      <c r="P416" s="388"/>
      <c r="Q416" s="130"/>
      <c r="R416" s="165"/>
      <c r="S416" s="166"/>
      <c r="T416" s="166"/>
      <c r="U416" s="167"/>
    </row>
    <row r="417" spans="1:21" ht="18.75" customHeight="1">
      <c r="A417" s="11" t="s">
        <v>276</v>
      </c>
      <c r="B417" s="676" t="s">
        <v>250</v>
      </c>
      <c r="C417" s="31" t="s">
        <v>251</v>
      </c>
      <c r="D417" s="177">
        <f>9200+520</f>
        <v>9720</v>
      </c>
      <c r="E417" s="999">
        <f t="shared" si="44"/>
        <v>9720</v>
      </c>
      <c r="F417" s="166"/>
      <c r="G417" s="164"/>
      <c r="H417" s="165"/>
      <c r="I417" s="166"/>
      <c r="J417" s="166"/>
      <c r="K417" s="164"/>
      <c r="L417" s="354"/>
      <c r="M417" s="328"/>
      <c r="N417" s="387"/>
      <c r="O417" s="387"/>
      <c r="P417" s="388"/>
      <c r="Q417" s="130"/>
      <c r="R417" s="165"/>
      <c r="S417" s="166"/>
      <c r="T417" s="166"/>
      <c r="U417" s="167"/>
    </row>
    <row r="418" spans="1:21" ht="24.75" customHeight="1">
      <c r="A418" s="11" t="s">
        <v>365</v>
      </c>
      <c r="B418" s="676" t="s">
        <v>360</v>
      </c>
      <c r="C418" s="31" t="s">
        <v>89</v>
      </c>
      <c r="D418" s="177">
        <f>800</f>
        <v>800</v>
      </c>
      <c r="E418" s="999">
        <f t="shared" si="44"/>
        <v>800</v>
      </c>
      <c r="F418" s="166"/>
      <c r="G418" s="164"/>
      <c r="H418" s="165"/>
      <c r="I418" s="166"/>
      <c r="J418" s="166"/>
      <c r="K418" s="164"/>
      <c r="L418" s="354"/>
      <c r="M418" s="328"/>
      <c r="N418" s="387"/>
      <c r="O418" s="387"/>
      <c r="P418" s="388"/>
      <c r="Q418" s="130"/>
      <c r="R418" s="165"/>
      <c r="S418" s="166"/>
      <c r="T418" s="166"/>
      <c r="U418" s="167"/>
    </row>
    <row r="419" spans="1:21" ht="18" customHeight="1">
      <c r="A419" s="745" t="s">
        <v>53</v>
      </c>
      <c r="B419" s="559" t="s">
        <v>52</v>
      </c>
      <c r="C419" s="26"/>
      <c r="D419" s="190">
        <f>SUM(D421:D423,D424)</f>
        <v>57810</v>
      </c>
      <c r="E419" s="190">
        <f>SUM(E421:E423,E424)</f>
        <v>57810</v>
      </c>
      <c r="F419" s="179">
        <f>SUM(F421:F424)</f>
        <v>0</v>
      </c>
      <c r="G419" s="179">
        <f>SUM(G421:G424)</f>
        <v>0</v>
      </c>
      <c r="H419" s="182">
        <f>SUM(H421:H422)</f>
        <v>0</v>
      </c>
      <c r="I419" s="180">
        <f>SUM(I421:I422)</f>
        <v>0</v>
      </c>
      <c r="J419" s="180">
        <f>SUM(J421,J422)</f>
        <v>0</v>
      </c>
      <c r="K419" s="181">
        <f>SUM(K421,K422)</f>
        <v>0</v>
      </c>
      <c r="L419" s="357"/>
      <c r="M419" s="182">
        <f>SUM(M421:M422)</f>
        <v>0</v>
      </c>
      <c r="N419" s="180">
        <f>SUM(N421:N422)</f>
        <v>0</v>
      </c>
      <c r="O419" s="180">
        <f>SUM(O421,O422)</f>
        <v>0</v>
      </c>
      <c r="P419" s="183">
        <f>SUM(P421,P422)</f>
        <v>0</v>
      </c>
      <c r="Q419" s="77"/>
      <c r="R419" s="182">
        <f>SUM(R421:R422)</f>
        <v>0</v>
      </c>
      <c r="S419" s="180">
        <f>SUM(S421:S422)</f>
        <v>0</v>
      </c>
      <c r="T419" s="180">
        <f>SUM(T421,T422)</f>
        <v>0</v>
      </c>
      <c r="U419" s="183">
        <f>SUM(U421,U422)</f>
        <v>0</v>
      </c>
    </row>
    <row r="420" spans="1:21">
      <c r="A420" s="11"/>
      <c r="B420" s="20" t="s">
        <v>27</v>
      </c>
      <c r="C420" s="25"/>
      <c r="D420" s="177"/>
      <c r="E420" s="89"/>
      <c r="F420" s="166"/>
      <c r="G420" s="164"/>
      <c r="H420" s="165"/>
      <c r="I420" s="166"/>
      <c r="J420" s="166"/>
      <c r="K420" s="164"/>
      <c r="L420" s="353"/>
      <c r="M420" s="328"/>
      <c r="N420" s="387"/>
      <c r="O420" s="387"/>
      <c r="P420" s="388"/>
      <c r="Q420" s="71"/>
      <c r="R420" s="165"/>
      <c r="S420" s="166"/>
      <c r="T420" s="166"/>
      <c r="U420" s="167"/>
    </row>
    <row r="421" spans="1:21" ht="18" customHeight="1">
      <c r="A421" s="11" t="s">
        <v>51</v>
      </c>
      <c r="B421" s="676" t="s">
        <v>25</v>
      </c>
      <c r="C421" s="31" t="s">
        <v>175</v>
      </c>
      <c r="D421" s="177">
        <f>15000+2534</f>
        <v>17534</v>
      </c>
      <c r="E421" s="999">
        <f t="shared" ref="E421:E424" si="45">+D421</f>
        <v>17534</v>
      </c>
      <c r="F421" s="166"/>
      <c r="G421" s="164"/>
      <c r="H421" s="165"/>
      <c r="I421" s="166"/>
      <c r="J421" s="166"/>
      <c r="K421" s="164"/>
      <c r="L421" s="354"/>
      <c r="M421" s="328"/>
      <c r="N421" s="387"/>
      <c r="O421" s="387"/>
      <c r="P421" s="388"/>
      <c r="Q421" s="130"/>
      <c r="R421" s="165"/>
      <c r="S421" s="166"/>
      <c r="T421" s="166"/>
      <c r="U421" s="167"/>
    </row>
    <row r="422" spans="1:21" ht="24.75" customHeight="1">
      <c r="A422" s="11" t="s">
        <v>50</v>
      </c>
      <c r="B422" s="676" t="s">
        <v>23</v>
      </c>
      <c r="C422" s="31" t="s">
        <v>305</v>
      </c>
      <c r="D422" s="177">
        <f>18600+3038</f>
        <v>21638</v>
      </c>
      <c r="E422" s="999">
        <f t="shared" si="45"/>
        <v>21638</v>
      </c>
      <c r="F422" s="166"/>
      <c r="G422" s="164"/>
      <c r="H422" s="165"/>
      <c r="I422" s="166"/>
      <c r="J422" s="166"/>
      <c r="K422" s="164"/>
      <c r="L422" s="354"/>
      <c r="M422" s="328"/>
      <c r="N422" s="387"/>
      <c r="O422" s="387"/>
      <c r="P422" s="388"/>
      <c r="Q422" s="130"/>
      <c r="R422" s="165"/>
      <c r="S422" s="166"/>
      <c r="T422" s="166"/>
      <c r="U422" s="167"/>
    </row>
    <row r="423" spans="1:21" ht="19.5" customHeight="1">
      <c r="A423" s="11" t="s">
        <v>277</v>
      </c>
      <c r="B423" s="676" t="s">
        <v>250</v>
      </c>
      <c r="C423" s="31" t="s">
        <v>251</v>
      </c>
      <c r="D423" s="177">
        <f>16000+638</f>
        <v>16638</v>
      </c>
      <c r="E423" s="999">
        <f t="shared" si="45"/>
        <v>16638</v>
      </c>
      <c r="F423" s="166"/>
      <c r="G423" s="164"/>
      <c r="H423" s="165"/>
      <c r="I423" s="166"/>
      <c r="J423" s="166"/>
      <c r="K423" s="164"/>
      <c r="L423" s="354"/>
      <c r="M423" s="328"/>
      <c r="N423" s="387"/>
      <c r="O423" s="387"/>
      <c r="P423" s="388"/>
      <c r="Q423" s="130"/>
      <c r="R423" s="165"/>
      <c r="S423" s="166"/>
      <c r="T423" s="166"/>
      <c r="U423" s="167"/>
    </row>
    <row r="424" spans="1:21" ht="25.5" customHeight="1">
      <c r="A424" s="11" t="s">
        <v>366</v>
      </c>
      <c r="B424" s="676" t="s">
        <v>360</v>
      </c>
      <c r="C424" s="31" t="s">
        <v>89</v>
      </c>
      <c r="D424" s="177">
        <f>2000</f>
        <v>2000</v>
      </c>
      <c r="E424" s="999">
        <f t="shared" si="45"/>
        <v>2000</v>
      </c>
      <c r="F424" s="166"/>
      <c r="G424" s="164"/>
      <c r="H424" s="165"/>
      <c r="I424" s="166"/>
      <c r="J424" s="166"/>
      <c r="K424" s="164"/>
      <c r="L424" s="354"/>
      <c r="M424" s="328"/>
      <c r="N424" s="387"/>
      <c r="O424" s="387"/>
      <c r="P424" s="388"/>
      <c r="Q424" s="130"/>
      <c r="R424" s="165"/>
      <c r="S424" s="166"/>
      <c r="T424" s="166"/>
      <c r="U424" s="167"/>
    </row>
    <row r="425" spans="1:21" ht="16.5" customHeight="1">
      <c r="A425" s="745" t="s">
        <v>49</v>
      </c>
      <c r="B425" s="559" t="s">
        <v>48</v>
      </c>
      <c r="C425" s="26"/>
      <c r="D425" s="214">
        <f>SUM(D427:D430)</f>
        <v>57237</v>
      </c>
      <c r="E425" s="214">
        <f>SUM(E427:E430)</f>
        <v>57237</v>
      </c>
      <c r="F425" s="189">
        <f>SUM(F427:F430)</f>
        <v>0</v>
      </c>
      <c r="G425" s="189">
        <f>SUM(G427:G430)</f>
        <v>0</v>
      </c>
      <c r="H425" s="182">
        <f>SUM(H427:H428)</f>
        <v>0</v>
      </c>
      <c r="I425" s="180">
        <f>SUM(I427:I428)</f>
        <v>0</v>
      </c>
      <c r="J425" s="180">
        <f>SUM(J427,J428)</f>
        <v>0</v>
      </c>
      <c r="K425" s="181">
        <f>SUM(K427,K428)</f>
        <v>0</v>
      </c>
      <c r="L425" s="357"/>
      <c r="M425" s="182">
        <f>SUM(M427:M428)</f>
        <v>0</v>
      </c>
      <c r="N425" s="180">
        <f>SUM(N427:N428)</f>
        <v>0</v>
      </c>
      <c r="O425" s="180">
        <f>SUM(O427,O428)</f>
        <v>0</v>
      </c>
      <c r="P425" s="183">
        <f>SUM(P427,P428)</f>
        <v>0</v>
      </c>
      <c r="Q425" s="77"/>
      <c r="R425" s="182">
        <f>SUM(R427:R428)</f>
        <v>0</v>
      </c>
      <c r="S425" s="180">
        <f>SUM(S427:S428)</f>
        <v>0</v>
      </c>
      <c r="T425" s="180">
        <f>SUM(T427,T428)</f>
        <v>0</v>
      </c>
      <c r="U425" s="183">
        <f>SUM(U427,U428)</f>
        <v>0</v>
      </c>
    </row>
    <row r="426" spans="1:21">
      <c r="A426" s="11"/>
      <c r="B426" s="20" t="s">
        <v>27</v>
      </c>
      <c r="C426" s="25"/>
      <c r="D426" s="301"/>
      <c r="E426" s="208"/>
      <c r="F426" s="166"/>
      <c r="G426" s="164"/>
      <c r="H426" s="165"/>
      <c r="I426" s="166"/>
      <c r="J426" s="166"/>
      <c r="K426" s="164"/>
      <c r="L426" s="353"/>
      <c r="M426" s="328"/>
      <c r="N426" s="387"/>
      <c r="O426" s="387"/>
      <c r="P426" s="388"/>
      <c r="Q426" s="71"/>
      <c r="R426" s="165"/>
      <c r="S426" s="166"/>
      <c r="T426" s="166"/>
      <c r="U426" s="167"/>
    </row>
    <row r="427" spans="1:21" ht="21" customHeight="1">
      <c r="A427" s="11" t="s">
        <v>47</v>
      </c>
      <c r="B427" s="676" t="s">
        <v>25</v>
      </c>
      <c r="C427" s="31" t="s">
        <v>175</v>
      </c>
      <c r="D427" s="177">
        <f>17000+2552</f>
        <v>19552</v>
      </c>
      <c r="E427" s="999">
        <f t="shared" ref="E427:E430" si="46">+D427</f>
        <v>19552</v>
      </c>
      <c r="F427" s="166"/>
      <c r="G427" s="164"/>
      <c r="H427" s="165"/>
      <c r="I427" s="166"/>
      <c r="J427" s="166"/>
      <c r="K427" s="164"/>
      <c r="L427" s="354"/>
      <c r="M427" s="328"/>
      <c r="N427" s="387"/>
      <c r="O427" s="387"/>
      <c r="P427" s="388"/>
      <c r="Q427" s="130"/>
      <c r="R427" s="165"/>
      <c r="S427" s="166"/>
      <c r="T427" s="166"/>
      <c r="U427" s="167"/>
    </row>
    <row r="428" spans="1:21" ht="28.5" customHeight="1">
      <c r="A428" s="11" t="s">
        <v>46</v>
      </c>
      <c r="B428" s="676" t="s">
        <v>23</v>
      </c>
      <c r="C428" s="31" t="s">
        <v>305</v>
      </c>
      <c r="D428" s="177">
        <f>7600+3414</f>
        <v>11014</v>
      </c>
      <c r="E428" s="999">
        <f t="shared" si="46"/>
        <v>11014</v>
      </c>
      <c r="F428" s="166"/>
      <c r="G428" s="164"/>
      <c r="H428" s="165"/>
      <c r="I428" s="166"/>
      <c r="J428" s="166"/>
      <c r="K428" s="164"/>
      <c r="L428" s="354"/>
      <c r="M428" s="328"/>
      <c r="N428" s="387"/>
      <c r="O428" s="387"/>
      <c r="P428" s="388"/>
      <c r="Q428" s="130"/>
      <c r="R428" s="165"/>
      <c r="S428" s="166"/>
      <c r="T428" s="166"/>
      <c r="U428" s="167"/>
    </row>
    <row r="429" spans="1:21" ht="19.5" customHeight="1">
      <c r="A429" s="11" t="s">
        <v>278</v>
      </c>
      <c r="B429" s="676" t="s">
        <v>250</v>
      </c>
      <c r="C429" s="31" t="s">
        <v>251</v>
      </c>
      <c r="D429" s="177">
        <f>21000+4571</f>
        <v>25571</v>
      </c>
      <c r="E429" s="999">
        <f t="shared" si="46"/>
        <v>25571</v>
      </c>
      <c r="F429" s="166"/>
      <c r="G429" s="164"/>
      <c r="H429" s="165"/>
      <c r="I429" s="166"/>
      <c r="J429" s="166"/>
      <c r="K429" s="164"/>
      <c r="L429" s="354"/>
      <c r="M429" s="328"/>
      <c r="N429" s="387"/>
      <c r="O429" s="387"/>
      <c r="P429" s="388"/>
      <c r="Q429" s="130"/>
      <c r="R429" s="165"/>
      <c r="S429" s="166"/>
      <c r="T429" s="166"/>
      <c r="U429" s="167"/>
    </row>
    <row r="430" spans="1:21" ht="24.75" customHeight="1">
      <c r="A430" s="11" t="s">
        <v>367</v>
      </c>
      <c r="B430" s="676" t="s">
        <v>360</v>
      </c>
      <c r="C430" s="31" t="s">
        <v>89</v>
      </c>
      <c r="D430" s="177">
        <f>1100</f>
        <v>1100</v>
      </c>
      <c r="E430" s="999">
        <f t="shared" si="46"/>
        <v>1100</v>
      </c>
      <c r="F430" s="166"/>
      <c r="G430" s="164"/>
      <c r="H430" s="165"/>
      <c r="I430" s="166"/>
      <c r="J430" s="166"/>
      <c r="K430" s="164"/>
      <c r="L430" s="354"/>
      <c r="M430" s="328"/>
      <c r="N430" s="387"/>
      <c r="O430" s="387"/>
      <c r="P430" s="388"/>
      <c r="Q430" s="130"/>
      <c r="R430" s="165"/>
      <c r="S430" s="166"/>
      <c r="T430" s="166"/>
      <c r="U430" s="167"/>
    </row>
    <row r="431" spans="1:21" ht="18" customHeight="1">
      <c r="A431" s="745" t="s">
        <v>45</v>
      </c>
      <c r="B431" s="559" t="s">
        <v>44</v>
      </c>
      <c r="C431" s="26"/>
      <c r="D431" s="190">
        <f>SUM(D433:D436)</f>
        <v>47173</v>
      </c>
      <c r="E431" s="191">
        <f>SUM(E433:E436)</f>
        <v>47173</v>
      </c>
      <c r="F431" s="180">
        <f>SUM(F433:F435)</f>
        <v>0</v>
      </c>
      <c r="G431" s="181">
        <f>SUM(G433:G436)</f>
        <v>0</v>
      </c>
      <c r="H431" s="182">
        <f>SUM(H433:H434)</f>
        <v>0</v>
      </c>
      <c r="I431" s="180">
        <f>SUM(I433:I434)</f>
        <v>0</v>
      </c>
      <c r="J431" s="180">
        <f>SUM(J433,J434)</f>
        <v>0</v>
      </c>
      <c r="K431" s="181">
        <f>SUM(K433,K434)</f>
        <v>0</v>
      </c>
      <c r="L431" s="357"/>
      <c r="M431" s="182">
        <f>SUM(M433:M434)</f>
        <v>0</v>
      </c>
      <c r="N431" s="180">
        <f>SUM(N433:N434)</f>
        <v>0</v>
      </c>
      <c r="O431" s="180">
        <f>SUM(O433,O434)</f>
        <v>0</v>
      </c>
      <c r="P431" s="183">
        <f>SUM(P433,P434)</f>
        <v>0</v>
      </c>
      <c r="Q431" s="77"/>
      <c r="R431" s="182">
        <f>SUM(R433:R434)</f>
        <v>0</v>
      </c>
      <c r="S431" s="180">
        <f>SUM(S433:S434)</f>
        <v>0</v>
      </c>
      <c r="T431" s="180">
        <f>SUM(T433,T434)</f>
        <v>0</v>
      </c>
      <c r="U431" s="183">
        <f>SUM(U433,U434)</f>
        <v>0</v>
      </c>
    </row>
    <row r="432" spans="1:21">
      <c r="A432" s="11"/>
      <c r="B432" s="20" t="s">
        <v>27</v>
      </c>
      <c r="C432" s="25"/>
      <c r="D432" s="177"/>
      <c r="E432" s="89"/>
      <c r="F432" s="166"/>
      <c r="G432" s="164"/>
      <c r="H432" s="165"/>
      <c r="I432" s="166"/>
      <c r="J432" s="166"/>
      <c r="K432" s="164"/>
      <c r="L432" s="353"/>
      <c r="M432" s="328"/>
      <c r="N432" s="387"/>
      <c r="O432" s="387"/>
      <c r="P432" s="388"/>
      <c r="Q432" s="71"/>
      <c r="R432" s="165"/>
      <c r="S432" s="166"/>
      <c r="T432" s="166"/>
      <c r="U432" s="167"/>
    </row>
    <row r="433" spans="1:21" ht="18.75" customHeight="1">
      <c r="A433" s="11" t="s">
        <v>43</v>
      </c>
      <c r="B433" s="676" t="s">
        <v>25</v>
      </c>
      <c r="C433" s="31" t="s">
        <v>175</v>
      </c>
      <c r="D433" s="177">
        <f>17000+270</f>
        <v>17270</v>
      </c>
      <c r="E433" s="999">
        <f t="shared" ref="E433:E436" si="47">+D433</f>
        <v>17270</v>
      </c>
      <c r="F433" s="166"/>
      <c r="G433" s="164"/>
      <c r="H433" s="165"/>
      <c r="I433" s="166"/>
      <c r="J433" s="166"/>
      <c r="K433" s="164"/>
      <c r="L433" s="354"/>
      <c r="M433" s="328"/>
      <c r="N433" s="387"/>
      <c r="O433" s="387"/>
      <c r="P433" s="388"/>
      <c r="Q433" s="130"/>
      <c r="R433" s="165"/>
      <c r="S433" s="166"/>
      <c r="T433" s="166"/>
      <c r="U433" s="167"/>
    </row>
    <row r="434" spans="1:21" ht="25.5" customHeight="1">
      <c r="A434" s="11" t="s">
        <v>42</v>
      </c>
      <c r="B434" s="676" t="s">
        <v>23</v>
      </c>
      <c r="C434" s="31" t="s">
        <v>305</v>
      </c>
      <c r="D434" s="177">
        <f>9400+2103</f>
        <v>11503</v>
      </c>
      <c r="E434" s="999">
        <f t="shared" si="47"/>
        <v>11503</v>
      </c>
      <c r="F434" s="166"/>
      <c r="G434" s="164"/>
      <c r="H434" s="165"/>
      <c r="I434" s="166"/>
      <c r="J434" s="166"/>
      <c r="K434" s="164"/>
      <c r="L434" s="354"/>
      <c r="M434" s="328"/>
      <c r="N434" s="387"/>
      <c r="O434" s="387"/>
      <c r="P434" s="388"/>
      <c r="Q434" s="130"/>
      <c r="R434" s="165"/>
      <c r="S434" s="166"/>
      <c r="T434" s="166"/>
      <c r="U434" s="167"/>
    </row>
    <row r="435" spans="1:21" ht="25.5" customHeight="1">
      <c r="A435" s="11" t="s">
        <v>279</v>
      </c>
      <c r="B435" s="676" t="s">
        <v>250</v>
      </c>
      <c r="C435" s="31" t="s">
        <v>251</v>
      </c>
      <c r="D435" s="177">
        <f>16800</f>
        <v>16800</v>
      </c>
      <c r="E435" s="999">
        <f t="shared" si="47"/>
        <v>16800</v>
      </c>
      <c r="F435" s="166"/>
      <c r="G435" s="164"/>
      <c r="H435" s="165"/>
      <c r="I435" s="166"/>
      <c r="J435" s="166"/>
      <c r="K435" s="164"/>
      <c r="L435" s="354"/>
      <c r="M435" s="328"/>
      <c r="N435" s="387"/>
      <c r="O435" s="387"/>
      <c r="P435" s="388"/>
      <c r="Q435" s="130"/>
      <c r="R435" s="165"/>
      <c r="S435" s="166"/>
      <c r="T435" s="166"/>
      <c r="U435" s="167"/>
    </row>
    <row r="436" spans="1:21" ht="28.5" customHeight="1">
      <c r="A436" s="11" t="s">
        <v>335</v>
      </c>
      <c r="B436" s="676" t="s">
        <v>360</v>
      </c>
      <c r="C436" s="31" t="s">
        <v>89</v>
      </c>
      <c r="D436" s="177">
        <f>1600</f>
        <v>1600</v>
      </c>
      <c r="E436" s="999">
        <f t="shared" si="47"/>
        <v>1600</v>
      </c>
      <c r="F436" s="166"/>
      <c r="G436" s="164"/>
      <c r="H436" s="165"/>
      <c r="I436" s="166"/>
      <c r="J436" s="166"/>
      <c r="K436" s="164"/>
      <c r="L436" s="354"/>
      <c r="M436" s="328"/>
      <c r="N436" s="387"/>
      <c r="O436" s="387"/>
      <c r="P436" s="388"/>
      <c r="Q436" s="130"/>
      <c r="R436" s="165"/>
      <c r="S436" s="166"/>
      <c r="T436" s="166"/>
      <c r="U436" s="167"/>
    </row>
    <row r="437" spans="1:21" ht="18.75" customHeight="1">
      <c r="A437" s="745" t="s">
        <v>41</v>
      </c>
      <c r="B437" s="559" t="s">
        <v>40</v>
      </c>
      <c r="C437" s="26"/>
      <c r="D437" s="190">
        <f>SUM(D439:D442)</f>
        <v>592867</v>
      </c>
      <c r="E437" s="190">
        <f>SUM(E439:E442)</f>
        <v>592867</v>
      </c>
      <c r="F437" s="179">
        <f>SUM(F439:F442)</f>
        <v>0</v>
      </c>
      <c r="G437" s="179">
        <f>SUM(G439:G442)</f>
        <v>0</v>
      </c>
      <c r="H437" s="182">
        <f>SUM(H439:H440)</f>
        <v>0</v>
      </c>
      <c r="I437" s="180">
        <f>SUM(I439:I440)</f>
        <v>0</v>
      </c>
      <c r="J437" s="180">
        <f>SUM(J439,J440)</f>
        <v>0</v>
      </c>
      <c r="K437" s="181">
        <f>SUM(K439,K440)</f>
        <v>0</v>
      </c>
      <c r="L437" s="357"/>
      <c r="M437" s="182">
        <f>SUM(M439:M440)</f>
        <v>0</v>
      </c>
      <c r="N437" s="180">
        <f>SUM(N439:N440)</f>
        <v>0</v>
      </c>
      <c r="O437" s="180">
        <f>SUM(O439,O440)</f>
        <v>0</v>
      </c>
      <c r="P437" s="183">
        <f>SUM(P439,P440)</f>
        <v>0</v>
      </c>
      <c r="Q437" s="77"/>
      <c r="R437" s="182">
        <f>SUM(R439:R440)</f>
        <v>0</v>
      </c>
      <c r="S437" s="180">
        <f>SUM(S439:S440)</f>
        <v>0</v>
      </c>
      <c r="T437" s="180">
        <f>SUM(T439,T440)</f>
        <v>0</v>
      </c>
      <c r="U437" s="183">
        <f>SUM(U439,U440)</f>
        <v>0</v>
      </c>
    </row>
    <row r="438" spans="1:21">
      <c r="A438" s="11"/>
      <c r="B438" s="20" t="s">
        <v>27</v>
      </c>
      <c r="C438" s="25"/>
      <c r="D438" s="177"/>
      <c r="E438" s="89"/>
      <c r="F438" s="166"/>
      <c r="G438" s="164"/>
      <c r="H438" s="165"/>
      <c r="I438" s="166"/>
      <c r="J438" s="166"/>
      <c r="K438" s="164"/>
      <c r="L438" s="353"/>
      <c r="M438" s="328"/>
      <c r="N438" s="387"/>
      <c r="O438" s="387"/>
      <c r="P438" s="388"/>
      <c r="Q438" s="71"/>
      <c r="R438" s="165"/>
      <c r="S438" s="166"/>
      <c r="T438" s="166"/>
      <c r="U438" s="167"/>
    </row>
    <row r="439" spans="1:21" ht="18" customHeight="1">
      <c r="A439" s="15" t="s">
        <v>39</v>
      </c>
      <c r="B439" s="676" t="s">
        <v>25</v>
      </c>
      <c r="C439" s="31" t="s">
        <v>175</v>
      </c>
      <c r="D439" s="177">
        <f>375000+15615</f>
        <v>390615</v>
      </c>
      <c r="E439" s="999">
        <f t="shared" ref="E439:E442" si="48">+D439</f>
        <v>390615</v>
      </c>
      <c r="F439" s="166"/>
      <c r="G439" s="164"/>
      <c r="H439" s="165"/>
      <c r="I439" s="166"/>
      <c r="J439" s="166"/>
      <c r="K439" s="164"/>
      <c r="L439" s="354"/>
      <c r="M439" s="328"/>
      <c r="N439" s="387"/>
      <c r="O439" s="387"/>
      <c r="P439" s="388"/>
      <c r="Q439" s="130"/>
      <c r="R439" s="165"/>
      <c r="S439" s="166"/>
      <c r="T439" s="166"/>
      <c r="U439" s="167"/>
    </row>
    <row r="440" spans="1:21" ht="24.75" customHeight="1">
      <c r="A440" s="15" t="s">
        <v>38</v>
      </c>
      <c r="B440" s="676" t="s">
        <v>23</v>
      </c>
      <c r="C440" s="31" t="s">
        <v>305</v>
      </c>
      <c r="D440" s="177">
        <f>131900+20285</f>
        <v>152185</v>
      </c>
      <c r="E440" s="999">
        <f t="shared" si="48"/>
        <v>152185</v>
      </c>
      <c r="F440" s="166"/>
      <c r="G440" s="164"/>
      <c r="H440" s="165"/>
      <c r="I440" s="166"/>
      <c r="J440" s="166"/>
      <c r="K440" s="164"/>
      <c r="L440" s="354"/>
      <c r="M440" s="328"/>
      <c r="N440" s="387"/>
      <c r="O440" s="387"/>
      <c r="P440" s="388"/>
      <c r="Q440" s="130"/>
      <c r="R440" s="165"/>
      <c r="S440" s="166"/>
      <c r="T440" s="166"/>
      <c r="U440" s="167"/>
    </row>
    <row r="441" spans="1:21" ht="19.5" customHeight="1">
      <c r="A441" s="15" t="s">
        <v>280</v>
      </c>
      <c r="B441" s="676" t="s">
        <v>250</v>
      </c>
      <c r="C441" s="31" t="s">
        <v>251</v>
      </c>
      <c r="D441" s="177">
        <f>40000+1767</f>
        <v>41767</v>
      </c>
      <c r="E441" s="999">
        <f t="shared" si="48"/>
        <v>41767</v>
      </c>
      <c r="F441" s="166"/>
      <c r="G441" s="164"/>
      <c r="H441" s="165"/>
      <c r="I441" s="166"/>
      <c r="J441" s="166"/>
      <c r="K441" s="164"/>
      <c r="L441" s="354"/>
      <c r="M441" s="328"/>
      <c r="N441" s="387"/>
      <c r="O441" s="387"/>
      <c r="P441" s="388"/>
      <c r="Q441" s="130"/>
      <c r="R441" s="165"/>
      <c r="S441" s="166"/>
      <c r="T441" s="166"/>
      <c r="U441" s="167"/>
    </row>
    <row r="442" spans="1:21" ht="24.75" customHeight="1">
      <c r="A442" s="15" t="s">
        <v>368</v>
      </c>
      <c r="B442" s="676" t="s">
        <v>360</v>
      </c>
      <c r="C442" s="31" t="s">
        <v>89</v>
      </c>
      <c r="D442" s="177">
        <f>8300</f>
        <v>8300</v>
      </c>
      <c r="E442" s="999">
        <f t="shared" si="48"/>
        <v>8300</v>
      </c>
      <c r="F442" s="166"/>
      <c r="G442" s="164"/>
      <c r="H442" s="165"/>
      <c r="I442" s="166"/>
      <c r="J442" s="166"/>
      <c r="K442" s="164"/>
      <c r="L442" s="354"/>
      <c r="M442" s="328"/>
      <c r="N442" s="387"/>
      <c r="O442" s="387"/>
      <c r="P442" s="388"/>
      <c r="Q442" s="130"/>
      <c r="R442" s="165"/>
      <c r="S442" s="166"/>
      <c r="T442" s="166"/>
      <c r="U442" s="167"/>
    </row>
    <row r="443" spans="1:21" ht="18.75" customHeight="1">
      <c r="A443" s="745" t="s">
        <v>37</v>
      </c>
      <c r="B443" s="76" t="s">
        <v>36</v>
      </c>
      <c r="C443" s="26"/>
      <c r="D443" s="190">
        <f>SUM(D445:D448)</f>
        <v>52731</v>
      </c>
      <c r="E443" s="190">
        <f>SUM(E445:E448)</f>
        <v>52731</v>
      </c>
      <c r="F443" s="179">
        <f>SUM(F445:F448)</f>
        <v>0</v>
      </c>
      <c r="G443" s="179">
        <f>SUM(G445:G448)</f>
        <v>0</v>
      </c>
      <c r="H443" s="182">
        <f t="shared" ref="H443:U443" si="49">SUM(H445,H446)</f>
        <v>0</v>
      </c>
      <c r="I443" s="180">
        <f t="shared" si="49"/>
        <v>0</v>
      </c>
      <c r="J443" s="180">
        <f t="shared" si="49"/>
        <v>0</v>
      </c>
      <c r="K443" s="181">
        <f t="shared" si="49"/>
        <v>0</v>
      </c>
      <c r="L443" s="379"/>
      <c r="M443" s="182">
        <f t="shared" si="49"/>
        <v>0</v>
      </c>
      <c r="N443" s="180">
        <f t="shared" si="49"/>
        <v>0</v>
      </c>
      <c r="O443" s="180">
        <f t="shared" si="49"/>
        <v>0</v>
      </c>
      <c r="P443" s="183">
        <f t="shared" si="49"/>
        <v>0</v>
      </c>
      <c r="Q443" s="391"/>
      <c r="R443" s="182">
        <f t="shared" si="49"/>
        <v>0</v>
      </c>
      <c r="S443" s="180">
        <f t="shared" si="49"/>
        <v>0</v>
      </c>
      <c r="T443" s="180">
        <f t="shared" si="49"/>
        <v>0</v>
      </c>
      <c r="U443" s="183">
        <f t="shared" si="49"/>
        <v>0</v>
      </c>
    </row>
    <row r="444" spans="1:21">
      <c r="A444" s="11"/>
      <c r="B444" s="20" t="s">
        <v>27</v>
      </c>
      <c r="C444" s="25"/>
      <c r="D444" s="177"/>
      <c r="E444" s="89"/>
      <c r="F444" s="166"/>
      <c r="G444" s="164"/>
      <c r="H444" s="165"/>
      <c r="I444" s="166"/>
      <c r="J444" s="166"/>
      <c r="K444" s="164"/>
      <c r="L444" s="353"/>
      <c r="M444" s="328"/>
      <c r="N444" s="387"/>
      <c r="O444" s="387"/>
      <c r="P444" s="388"/>
      <c r="Q444" s="71"/>
      <c r="R444" s="165"/>
      <c r="S444" s="166"/>
      <c r="T444" s="166"/>
      <c r="U444" s="167"/>
    </row>
    <row r="445" spans="1:21" ht="15.75" customHeight="1">
      <c r="A445" s="15" t="s">
        <v>35</v>
      </c>
      <c r="B445" s="676" t="s">
        <v>25</v>
      </c>
      <c r="C445" s="31" t="s">
        <v>175</v>
      </c>
      <c r="D445" s="177">
        <f>13000</f>
        <v>13000</v>
      </c>
      <c r="E445" s="999">
        <f t="shared" ref="E445:E448" si="50">+D445</f>
        <v>13000</v>
      </c>
      <c r="F445" s="166"/>
      <c r="G445" s="164"/>
      <c r="H445" s="165"/>
      <c r="I445" s="166"/>
      <c r="J445" s="166"/>
      <c r="K445" s="164"/>
      <c r="L445" s="354"/>
      <c r="M445" s="328"/>
      <c r="N445" s="387"/>
      <c r="O445" s="387"/>
      <c r="P445" s="388"/>
      <c r="Q445" s="130"/>
      <c r="R445" s="165"/>
      <c r="S445" s="166"/>
      <c r="T445" s="166"/>
      <c r="U445" s="167"/>
    </row>
    <row r="446" spans="1:21" ht="29.25" customHeight="1">
      <c r="A446" s="15" t="s">
        <v>34</v>
      </c>
      <c r="B446" s="676" t="s">
        <v>23</v>
      </c>
      <c r="C446" s="31" t="s">
        <v>305</v>
      </c>
      <c r="D446" s="177">
        <f>9600+1331</f>
        <v>10931</v>
      </c>
      <c r="E446" s="999">
        <f t="shared" si="50"/>
        <v>10931</v>
      </c>
      <c r="F446" s="166"/>
      <c r="G446" s="164"/>
      <c r="H446" s="165"/>
      <c r="I446" s="166"/>
      <c r="J446" s="166"/>
      <c r="K446" s="164"/>
      <c r="L446" s="354"/>
      <c r="M446" s="328"/>
      <c r="N446" s="387"/>
      <c r="O446" s="387"/>
      <c r="P446" s="388"/>
      <c r="Q446" s="130"/>
      <c r="R446" s="165"/>
      <c r="S446" s="166"/>
      <c r="T446" s="166"/>
      <c r="U446" s="167"/>
    </row>
    <row r="447" spans="1:21" ht="18.75" customHeight="1">
      <c r="A447" s="15" t="s">
        <v>281</v>
      </c>
      <c r="B447" s="676" t="s">
        <v>250</v>
      </c>
      <c r="C447" s="31" t="s">
        <v>251</v>
      </c>
      <c r="D447" s="177">
        <f>26800</f>
        <v>26800</v>
      </c>
      <c r="E447" s="999">
        <f t="shared" si="50"/>
        <v>26800</v>
      </c>
      <c r="F447" s="166"/>
      <c r="G447" s="164"/>
      <c r="H447" s="165"/>
      <c r="I447" s="166"/>
      <c r="J447" s="166"/>
      <c r="K447" s="164"/>
      <c r="L447" s="354"/>
      <c r="M447" s="328"/>
      <c r="N447" s="387"/>
      <c r="O447" s="387"/>
      <c r="P447" s="388"/>
      <c r="Q447" s="130"/>
      <c r="R447" s="165"/>
      <c r="S447" s="166"/>
      <c r="T447" s="166"/>
      <c r="U447" s="167"/>
    </row>
    <row r="448" spans="1:21" ht="23.25" customHeight="1">
      <c r="A448" s="15" t="s">
        <v>490</v>
      </c>
      <c r="B448" s="676" t="s">
        <v>360</v>
      </c>
      <c r="C448" s="31" t="s">
        <v>89</v>
      </c>
      <c r="D448" s="177">
        <f>2000</f>
        <v>2000</v>
      </c>
      <c r="E448" s="999">
        <f t="shared" si="50"/>
        <v>2000</v>
      </c>
      <c r="F448" s="166"/>
      <c r="G448" s="164"/>
      <c r="H448" s="165"/>
      <c r="I448" s="166"/>
      <c r="J448" s="166"/>
      <c r="K448" s="164"/>
      <c r="L448" s="354"/>
      <c r="M448" s="328"/>
      <c r="N448" s="387"/>
      <c r="O448" s="387"/>
      <c r="P448" s="388"/>
      <c r="Q448" s="130"/>
      <c r="R448" s="165"/>
      <c r="S448" s="166"/>
      <c r="T448" s="166"/>
      <c r="U448" s="167"/>
    </row>
    <row r="449" spans="1:21" ht="17.25" customHeight="1">
      <c r="A449" s="745" t="s">
        <v>33</v>
      </c>
      <c r="B449" s="589" t="s">
        <v>32</v>
      </c>
      <c r="C449" s="26"/>
      <c r="D449" s="190">
        <f>SUM(D451:D454)</f>
        <v>57938</v>
      </c>
      <c r="E449" s="190">
        <f>SUM(E451:E454)</f>
        <v>57938</v>
      </c>
      <c r="F449" s="179">
        <f>SUM(F451:F454)</f>
        <v>0</v>
      </c>
      <c r="G449" s="179">
        <f>SUM(G451:G454)</f>
        <v>0</v>
      </c>
      <c r="H449" s="182">
        <f t="shared" ref="H449:U449" si="51">SUM(H451,H452)</f>
        <v>0</v>
      </c>
      <c r="I449" s="180">
        <f t="shared" si="51"/>
        <v>0</v>
      </c>
      <c r="J449" s="180">
        <f t="shared" si="51"/>
        <v>0</v>
      </c>
      <c r="K449" s="181">
        <f t="shared" si="51"/>
        <v>0</v>
      </c>
      <c r="L449" s="379"/>
      <c r="M449" s="182">
        <f t="shared" si="51"/>
        <v>0</v>
      </c>
      <c r="N449" s="180">
        <f t="shared" si="51"/>
        <v>0</v>
      </c>
      <c r="O449" s="180">
        <f t="shared" si="51"/>
        <v>0</v>
      </c>
      <c r="P449" s="183">
        <f t="shared" si="51"/>
        <v>0</v>
      </c>
      <c r="Q449" s="391"/>
      <c r="R449" s="182">
        <f t="shared" si="51"/>
        <v>0</v>
      </c>
      <c r="S449" s="180">
        <f t="shared" si="51"/>
        <v>0</v>
      </c>
      <c r="T449" s="180">
        <f t="shared" si="51"/>
        <v>0</v>
      </c>
      <c r="U449" s="183">
        <f t="shared" si="51"/>
        <v>0</v>
      </c>
    </row>
    <row r="450" spans="1:21">
      <c r="A450" s="11"/>
      <c r="B450" s="20" t="s">
        <v>27</v>
      </c>
      <c r="C450" s="25"/>
      <c r="D450" s="177"/>
      <c r="E450" s="89"/>
      <c r="F450" s="166"/>
      <c r="G450" s="164"/>
      <c r="H450" s="165"/>
      <c r="I450" s="166"/>
      <c r="J450" s="166"/>
      <c r="K450" s="164"/>
      <c r="L450" s="353"/>
      <c r="M450" s="328"/>
      <c r="N450" s="387"/>
      <c r="O450" s="387"/>
      <c r="P450" s="388"/>
      <c r="Q450" s="71"/>
      <c r="R450" s="165"/>
      <c r="S450" s="166"/>
      <c r="T450" s="166"/>
      <c r="U450" s="167"/>
    </row>
    <row r="451" spans="1:21" ht="18" customHeight="1">
      <c r="A451" s="15" t="s">
        <v>31</v>
      </c>
      <c r="B451" s="676" t="s">
        <v>25</v>
      </c>
      <c r="C451" s="31" t="s">
        <v>175</v>
      </c>
      <c r="D451" s="177">
        <f>22400+1509</f>
        <v>23909</v>
      </c>
      <c r="E451" s="999">
        <f t="shared" ref="E451:E454" si="52">+D451</f>
        <v>23909</v>
      </c>
      <c r="F451" s="166"/>
      <c r="G451" s="164"/>
      <c r="H451" s="165"/>
      <c r="I451" s="166"/>
      <c r="J451" s="166"/>
      <c r="K451" s="164"/>
      <c r="L451" s="354"/>
      <c r="M451" s="328"/>
      <c r="N451" s="387"/>
      <c r="O451" s="387"/>
      <c r="P451" s="388"/>
      <c r="Q451" s="130"/>
      <c r="R451" s="165"/>
      <c r="S451" s="166"/>
      <c r="T451" s="166"/>
      <c r="U451" s="167"/>
    </row>
    <row r="452" spans="1:21" ht="26.25" customHeight="1">
      <c r="A452" s="15" t="s">
        <v>30</v>
      </c>
      <c r="B452" s="676" t="s">
        <v>23</v>
      </c>
      <c r="C452" s="31" t="s">
        <v>305</v>
      </c>
      <c r="D452" s="177">
        <f>9500+1929</f>
        <v>11429</v>
      </c>
      <c r="E452" s="999">
        <f t="shared" si="52"/>
        <v>11429</v>
      </c>
      <c r="F452" s="166"/>
      <c r="G452" s="164"/>
      <c r="H452" s="165"/>
      <c r="I452" s="166"/>
      <c r="J452" s="166"/>
      <c r="K452" s="164"/>
      <c r="L452" s="354"/>
      <c r="M452" s="328"/>
      <c r="N452" s="387"/>
      <c r="O452" s="387"/>
      <c r="P452" s="388"/>
      <c r="Q452" s="130"/>
      <c r="R452" s="165"/>
      <c r="S452" s="166"/>
      <c r="T452" s="166"/>
      <c r="U452" s="167"/>
    </row>
    <row r="453" spans="1:21" ht="22.5" customHeight="1">
      <c r="A453" s="15" t="s">
        <v>282</v>
      </c>
      <c r="B453" s="676" t="s">
        <v>250</v>
      </c>
      <c r="C453" s="31" t="s">
        <v>251</v>
      </c>
      <c r="D453" s="177">
        <f>20000</f>
        <v>20000</v>
      </c>
      <c r="E453" s="999">
        <f t="shared" si="52"/>
        <v>20000</v>
      </c>
      <c r="F453" s="166"/>
      <c r="G453" s="164"/>
      <c r="H453" s="165"/>
      <c r="I453" s="166"/>
      <c r="J453" s="166"/>
      <c r="K453" s="164"/>
      <c r="L453" s="354"/>
      <c r="M453" s="328"/>
      <c r="N453" s="387"/>
      <c r="O453" s="387"/>
      <c r="P453" s="388"/>
      <c r="Q453" s="130"/>
      <c r="R453" s="165"/>
      <c r="S453" s="166"/>
      <c r="T453" s="166"/>
      <c r="U453" s="167"/>
    </row>
    <row r="454" spans="1:21" ht="24.75" customHeight="1">
      <c r="A454" s="15" t="s">
        <v>369</v>
      </c>
      <c r="B454" s="676" t="s">
        <v>360</v>
      </c>
      <c r="C454" s="31" t="s">
        <v>89</v>
      </c>
      <c r="D454" s="177">
        <f>2600</f>
        <v>2600</v>
      </c>
      <c r="E454" s="999">
        <f t="shared" si="52"/>
        <v>2600</v>
      </c>
      <c r="F454" s="166"/>
      <c r="G454" s="164"/>
      <c r="H454" s="165"/>
      <c r="I454" s="166"/>
      <c r="J454" s="166"/>
      <c r="K454" s="164"/>
      <c r="L454" s="354"/>
      <c r="M454" s="328"/>
      <c r="N454" s="387"/>
      <c r="O454" s="387"/>
      <c r="P454" s="388"/>
      <c r="Q454" s="130"/>
      <c r="R454" s="165"/>
      <c r="S454" s="166"/>
      <c r="T454" s="166"/>
      <c r="U454" s="167"/>
    </row>
    <row r="455" spans="1:21" ht="16.5" customHeight="1">
      <c r="A455" s="745" t="s">
        <v>29</v>
      </c>
      <c r="B455" s="558" t="s">
        <v>28</v>
      </c>
      <c r="C455" s="26"/>
      <c r="D455" s="190">
        <f>SUM(D457:D460)</f>
        <v>73061</v>
      </c>
      <c r="E455" s="190">
        <f>SUM(E457:E460)</f>
        <v>73061</v>
      </c>
      <c r="F455" s="179">
        <f>SUM(F457:F460)</f>
        <v>0</v>
      </c>
      <c r="G455" s="179">
        <f>SUM(G457:G460)</f>
        <v>0</v>
      </c>
      <c r="H455" s="182">
        <f t="shared" ref="H455:U455" si="53">SUM(H457,H458)</f>
        <v>0</v>
      </c>
      <c r="I455" s="180">
        <f t="shared" si="53"/>
        <v>0</v>
      </c>
      <c r="J455" s="180">
        <f t="shared" si="53"/>
        <v>0</v>
      </c>
      <c r="K455" s="181">
        <f t="shared" si="53"/>
        <v>0</v>
      </c>
      <c r="L455" s="379"/>
      <c r="M455" s="182">
        <f t="shared" si="53"/>
        <v>0</v>
      </c>
      <c r="N455" s="180">
        <f t="shared" si="53"/>
        <v>0</v>
      </c>
      <c r="O455" s="180">
        <f t="shared" si="53"/>
        <v>0</v>
      </c>
      <c r="P455" s="183">
        <f t="shared" si="53"/>
        <v>0</v>
      </c>
      <c r="Q455" s="391"/>
      <c r="R455" s="182">
        <f t="shared" si="53"/>
        <v>0</v>
      </c>
      <c r="S455" s="180">
        <f t="shared" si="53"/>
        <v>0</v>
      </c>
      <c r="T455" s="180">
        <f t="shared" si="53"/>
        <v>0</v>
      </c>
      <c r="U455" s="183">
        <f t="shared" si="53"/>
        <v>0</v>
      </c>
    </row>
    <row r="456" spans="1:21">
      <c r="A456" s="11"/>
      <c r="B456" s="20" t="s">
        <v>27</v>
      </c>
      <c r="C456" s="25"/>
      <c r="D456" s="177"/>
      <c r="E456" s="89"/>
      <c r="F456" s="166"/>
      <c r="G456" s="164"/>
      <c r="H456" s="165"/>
      <c r="I456" s="166"/>
      <c r="J456" s="166"/>
      <c r="K456" s="164"/>
      <c r="L456" s="353"/>
      <c r="M456" s="328"/>
      <c r="N456" s="387"/>
      <c r="O456" s="387"/>
      <c r="P456" s="388"/>
      <c r="Q456" s="71"/>
      <c r="R456" s="165"/>
      <c r="S456" s="166"/>
      <c r="T456" s="166"/>
      <c r="U456" s="167"/>
    </row>
    <row r="457" spans="1:21" ht="19.5" customHeight="1">
      <c r="A457" s="15" t="s">
        <v>26</v>
      </c>
      <c r="B457" s="676" t="s">
        <v>25</v>
      </c>
      <c r="C457" s="31" t="s">
        <v>175</v>
      </c>
      <c r="D457" s="177">
        <f>20000+3816</f>
        <v>23816</v>
      </c>
      <c r="E457" s="999">
        <f t="shared" ref="E457:E460" si="54">+D457</f>
        <v>23816</v>
      </c>
      <c r="F457" s="166"/>
      <c r="G457" s="164"/>
      <c r="H457" s="165"/>
      <c r="I457" s="166"/>
      <c r="J457" s="166"/>
      <c r="K457" s="164"/>
      <c r="L457" s="354"/>
      <c r="M457" s="328"/>
      <c r="N457" s="387"/>
      <c r="O457" s="387"/>
      <c r="P457" s="388"/>
      <c r="Q457" s="130"/>
      <c r="R457" s="165"/>
      <c r="S457" s="166"/>
      <c r="T457" s="166"/>
      <c r="U457" s="167"/>
    </row>
    <row r="458" spans="1:21" ht="27" customHeight="1">
      <c r="A458" s="15" t="s">
        <v>24</v>
      </c>
      <c r="B458" s="676" t="s">
        <v>23</v>
      </c>
      <c r="C458" s="31" t="s">
        <v>305</v>
      </c>
      <c r="D458" s="177">
        <f>13600+4845</f>
        <v>18445</v>
      </c>
      <c r="E458" s="999">
        <f t="shared" si="54"/>
        <v>18445</v>
      </c>
      <c r="F458" s="166"/>
      <c r="G458" s="164"/>
      <c r="H458" s="165"/>
      <c r="I458" s="166"/>
      <c r="J458" s="166"/>
      <c r="K458" s="164"/>
      <c r="L458" s="354"/>
      <c r="M458" s="328"/>
      <c r="N458" s="387"/>
      <c r="O458" s="387"/>
      <c r="P458" s="388"/>
      <c r="Q458" s="130"/>
      <c r="R458" s="165"/>
      <c r="S458" s="166"/>
      <c r="T458" s="166"/>
      <c r="U458" s="167"/>
    </row>
    <row r="459" spans="1:21" ht="18.75" customHeight="1">
      <c r="A459" s="15" t="s">
        <v>283</v>
      </c>
      <c r="B459" s="676" t="s">
        <v>250</v>
      </c>
      <c r="C459" s="31" t="s">
        <v>251</v>
      </c>
      <c r="D459" s="177">
        <f>26000+3000</f>
        <v>29000</v>
      </c>
      <c r="E459" s="999">
        <f t="shared" si="54"/>
        <v>29000</v>
      </c>
      <c r="F459" s="166"/>
      <c r="G459" s="164"/>
      <c r="H459" s="165"/>
      <c r="I459" s="166"/>
      <c r="J459" s="166"/>
      <c r="K459" s="164"/>
      <c r="L459" s="354"/>
      <c r="M459" s="328"/>
      <c r="N459" s="387"/>
      <c r="O459" s="387"/>
      <c r="P459" s="388"/>
      <c r="Q459" s="130"/>
      <c r="R459" s="165"/>
      <c r="S459" s="166"/>
      <c r="T459" s="166"/>
      <c r="U459" s="167"/>
    </row>
    <row r="460" spans="1:21" ht="26.25" customHeight="1" thickBot="1">
      <c r="A460" s="930" t="s">
        <v>370</v>
      </c>
      <c r="B460" s="1100" t="s">
        <v>360</v>
      </c>
      <c r="C460" s="932" t="s">
        <v>89</v>
      </c>
      <c r="D460" s="276">
        <f>1800</f>
        <v>1800</v>
      </c>
      <c r="E460" s="999">
        <f t="shared" si="54"/>
        <v>1800</v>
      </c>
      <c r="F460" s="258"/>
      <c r="G460" s="212"/>
      <c r="H460" s="550"/>
      <c r="I460" s="551"/>
      <c r="J460" s="551"/>
      <c r="K460" s="212"/>
      <c r="L460" s="359"/>
      <c r="M460" s="550"/>
      <c r="N460" s="551"/>
      <c r="O460" s="551"/>
      <c r="P460" s="860"/>
      <c r="Q460" s="933"/>
      <c r="R460" s="550"/>
      <c r="S460" s="551"/>
      <c r="T460" s="551"/>
      <c r="U460" s="860"/>
    </row>
    <row r="461" spans="1:21" ht="46.5" customHeight="1">
      <c r="A461" s="382" t="s">
        <v>716</v>
      </c>
      <c r="B461" s="46" t="s">
        <v>570</v>
      </c>
      <c r="C461" s="943"/>
      <c r="D461" s="944">
        <f>SUM(D463:D465)</f>
        <v>9870</v>
      </c>
      <c r="E461" s="944">
        <f t="shared" ref="E461:G461" si="55">SUM(E463:E465)</f>
        <v>9870</v>
      </c>
      <c r="F461" s="944">
        <f t="shared" si="55"/>
        <v>0</v>
      </c>
      <c r="G461" s="944">
        <f t="shared" si="55"/>
        <v>0</v>
      </c>
      <c r="H461" s="945">
        <f>SUM(H465:H475)</f>
        <v>0</v>
      </c>
      <c r="I461" s="946">
        <f>SUM(I465:I475)</f>
        <v>0</v>
      </c>
      <c r="J461" s="946">
        <f>SUM(J465:J475)</f>
        <v>0</v>
      </c>
      <c r="K461" s="947">
        <f>SUM(K465:K475)</f>
        <v>0</v>
      </c>
      <c r="L461" s="948"/>
      <c r="M461" s="945">
        <f>SUM(M462:M478)</f>
        <v>0</v>
      </c>
      <c r="N461" s="946">
        <f>SUM(N462:N478)</f>
        <v>0</v>
      </c>
      <c r="O461" s="946">
        <f>SUM(O462:O478)</f>
        <v>0</v>
      </c>
      <c r="P461" s="949">
        <f>SUM(P462:P478)</f>
        <v>0</v>
      </c>
      <c r="Q461" s="950"/>
      <c r="R461" s="945">
        <f>SUM(R465:R475)</f>
        <v>0</v>
      </c>
      <c r="S461" s="946">
        <f>SUM(S465:S475)</f>
        <v>0</v>
      </c>
      <c r="T461" s="946">
        <f>SUM(T465:T475)</f>
        <v>0</v>
      </c>
      <c r="U461" s="949">
        <f>SUM(U465:U475)</f>
        <v>0</v>
      </c>
    </row>
    <row r="462" spans="1:21" ht="20.25" customHeight="1">
      <c r="A462" s="848"/>
      <c r="B462" s="20" t="s">
        <v>16</v>
      </c>
      <c r="C462" s="30"/>
      <c r="D462" s="289"/>
      <c r="E462" s="287"/>
      <c r="F462" s="287"/>
      <c r="G462" s="290"/>
      <c r="H462" s="286"/>
      <c r="I462" s="287"/>
      <c r="J462" s="287"/>
      <c r="K462" s="290"/>
      <c r="L462" s="353"/>
      <c r="M462" s="286"/>
      <c r="N462" s="287"/>
      <c r="O462" s="287"/>
      <c r="P462" s="288"/>
      <c r="Q462" s="71"/>
      <c r="R462" s="286"/>
      <c r="S462" s="287"/>
      <c r="T462" s="287"/>
      <c r="U462" s="288"/>
    </row>
    <row r="463" spans="1:21" ht="39.75" customHeight="1">
      <c r="A463" s="39" t="s">
        <v>717</v>
      </c>
      <c r="B463" s="676" t="s">
        <v>651</v>
      </c>
      <c r="C463" s="25" t="s">
        <v>357</v>
      </c>
      <c r="D463" s="162">
        <v>5970</v>
      </c>
      <c r="E463" s="865">
        <v>5970</v>
      </c>
      <c r="F463" s="854"/>
      <c r="G463" s="858"/>
      <c r="H463" s="853"/>
      <c r="I463" s="854"/>
      <c r="J463" s="854"/>
      <c r="K463" s="858"/>
      <c r="L463" s="378"/>
      <c r="M463" s="853"/>
      <c r="N463" s="854"/>
      <c r="O463" s="854"/>
      <c r="P463" s="855"/>
      <c r="Q463" s="390"/>
      <c r="R463" s="853"/>
      <c r="S463" s="854"/>
      <c r="T463" s="854"/>
      <c r="U463" s="855"/>
    </row>
    <row r="464" spans="1:21" ht="51.75" customHeight="1" thickBot="1">
      <c r="A464" s="951" t="s">
        <v>718</v>
      </c>
      <c r="B464" s="1101" t="s">
        <v>669</v>
      </c>
      <c r="C464" s="145"/>
      <c r="D464" s="952">
        <v>3900</v>
      </c>
      <c r="E464" s="953">
        <v>3900</v>
      </c>
      <c r="F464" s="303"/>
      <c r="G464" s="304"/>
      <c r="H464" s="302"/>
      <c r="I464" s="303"/>
      <c r="J464" s="303"/>
      <c r="K464" s="304"/>
      <c r="L464" s="954"/>
      <c r="M464" s="302"/>
      <c r="N464" s="303"/>
      <c r="O464" s="303"/>
      <c r="P464" s="305"/>
      <c r="Q464" s="955"/>
      <c r="R464" s="302"/>
      <c r="S464" s="303"/>
      <c r="T464" s="303"/>
      <c r="U464" s="305"/>
    </row>
    <row r="465" spans="1:21" ht="24.75" hidden="1" customHeight="1" thickBot="1">
      <c r="A465" s="934" t="s">
        <v>585</v>
      </c>
      <c r="B465" s="754"/>
      <c r="C465" s="935" t="s">
        <v>346</v>
      </c>
      <c r="D465" s="936"/>
      <c r="E465" s="937"/>
      <c r="F465" s="937"/>
      <c r="G465" s="938"/>
      <c r="H465" s="757"/>
      <c r="I465" s="274"/>
      <c r="J465" s="274"/>
      <c r="K465" s="939"/>
      <c r="L465" s="940"/>
      <c r="M465" s="757"/>
      <c r="N465" s="274"/>
      <c r="O465" s="274"/>
      <c r="P465" s="941"/>
      <c r="Q465" s="942"/>
      <c r="R465" s="757"/>
      <c r="S465" s="274"/>
      <c r="T465" s="274"/>
      <c r="U465" s="941"/>
    </row>
    <row r="466" spans="1:21" ht="39.75" customHeight="1" thickBot="1">
      <c r="A466" s="17" t="s">
        <v>22</v>
      </c>
      <c r="B466" s="680" t="s">
        <v>654</v>
      </c>
      <c r="C466" s="681"/>
      <c r="D466" s="270">
        <f>SUM(D468,D491)</f>
        <v>31300</v>
      </c>
      <c r="E466" s="271">
        <f t="shared" ref="E466:G466" si="56">SUM(E468,E491)</f>
        <v>13000</v>
      </c>
      <c r="F466" s="271">
        <f t="shared" si="56"/>
        <v>0</v>
      </c>
      <c r="G466" s="272">
        <f t="shared" si="56"/>
        <v>18300</v>
      </c>
      <c r="H466" s="331">
        <f t="shared" ref="H466:U466" si="57">SUM(H468)</f>
        <v>0</v>
      </c>
      <c r="I466" s="331">
        <f t="shared" si="57"/>
        <v>0</v>
      </c>
      <c r="J466" s="331">
        <f t="shared" si="57"/>
        <v>0</v>
      </c>
      <c r="K466" s="682">
        <f t="shared" si="57"/>
        <v>0</v>
      </c>
      <c r="L466" s="683"/>
      <c r="M466" s="331">
        <f>SUM(M468,)</f>
        <v>0</v>
      </c>
      <c r="N466" s="331">
        <f t="shared" ref="N466:P466" si="58">SUM(N468,)</f>
        <v>0</v>
      </c>
      <c r="O466" s="331">
        <f t="shared" si="58"/>
        <v>0</v>
      </c>
      <c r="P466" s="331">
        <f t="shared" si="58"/>
        <v>0</v>
      </c>
      <c r="Q466" s="684"/>
      <c r="R466" s="331">
        <f t="shared" si="57"/>
        <v>0</v>
      </c>
      <c r="S466" s="331">
        <f t="shared" si="57"/>
        <v>0</v>
      </c>
      <c r="T466" s="331">
        <f t="shared" si="57"/>
        <v>0</v>
      </c>
      <c r="U466" s="685">
        <f t="shared" si="57"/>
        <v>0</v>
      </c>
    </row>
    <row r="467" spans="1:21">
      <c r="A467" s="41"/>
      <c r="B467" s="679" t="s">
        <v>18</v>
      </c>
      <c r="C467" s="103"/>
      <c r="D467" s="825"/>
      <c r="E467" s="826"/>
      <c r="F467" s="826"/>
      <c r="G467" s="827"/>
      <c r="H467" s="295"/>
      <c r="I467" s="293"/>
      <c r="J467" s="293"/>
      <c r="K467" s="294"/>
      <c r="L467" s="376"/>
      <c r="M467" s="295"/>
      <c r="N467" s="293"/>
      <c r="O467" s="293"/>
      <c r="P467" s="294"/>
      <c r="Q467" s="61"/>
      <c r="R467" s="295"/>
      <c r="S467" s="293"/>
      <c r="T467" s="293"/>
      <c r="U467" s="296"/>
    </row>
    <row r="468" spans="1:21" ht="36">
      <c r="A468" s="591" t="s">
        <v>21</v>
      </c>
      <c r="B468" s="107" t="s">
        <v>570</v>
      </c>
      <c r="C468" s="114" t="s">
        <v>175</v>
      </c>
      <c r="D468" s="182">
        <f>SUM(D470:D471)</f>
        <v>18000</v>
      </c>
      <c r="E468" s="180">
        <f>SUM(E470:E490)</f>
        <v>13000</v>
      </c>
      <c r="F468" s="180">
        <f>SUM(F470:F477)</f>
        <v>0</v>
      </c>
      <c r="G468" s="181">
        <f>SUM(G470:G490)</f>
        <v>5000</v>
      </c>
      <c r="H468" s="182">
        <f>SUM(H470:H472)</f>
        <v>0</v>
      </c>
      <c r="I468" s="180">
        <f>SUM(I470:I472)</f>
        <v>0</v>
      </c>
      <c r="J468" s="180">
        <f>SUM(J470:J472)</f>
        <v>0</v>
      </c>
      <c r="K468" s="181">
        <f>SUM(K470:K472)</f>
        <v>0</v>
      </c>
      <c r="L468" s="377"/>
      <c r="M468" s="182">
        <f>SUM(M470:M493)</f>
        <v>0</v>
      </c>
      <c r="N468" s="180">
        <f>SUM(N470:N493)</f>
        <v>0</v>
      </c>
      <c r="O468" s="180">
        <f>SUM(O470:O493)</f>
        <v>0</v>
      </c>
      <c r="P468" s="181">
        <f>SUM(P470:P493)</f>
        <v>0</v>
      </c>
      <c r="Q468" s="62">
        <f>SUM(Q470:Q472)</f>
        <v>0</v>
      </c>
      <c r="R468" s="182">
        <f>SUM(R470:R472)</f>
        <v>0</v>
      </c>
      <c r="S468" s="180">
        <f>SUM(S470:S472)</f>
        <v>0</v>
      </c>
      <c r="T468" s="180">
        <f>SUM(T470:T472)</f>
        <v>0</v>
      </c>
      <c r="U468" s="183">
        <f>SUM(U470:U472)</f>
        <v>0</v>
      </c>
    </row>
    <row r="469" spans="1:21">
      <c r="A469" s="591"/>
      <c r="B469" s="108" t="s">
        <v>16</v>
      </c>
      <c r="C469" s="104"/>
      <c r="D469" s="286"/>
      <c r="E469" s="287"/>
      <c r="F469" s="287"/>
      <c r="G469" s="290"/>
      <c r="H469" s="286"/>
      <c r="I469" s="287"/>
      <c r="J469" s="287"/>
      <c r="K469" s="290"/>
      <c r="L469" s="353"/>
      <c r="M469" s="286"/>
      <c r="N469" s="287"/>
      <c r="O469" s="287"/>
      <c r="P469" s="290"/>
      <c r="Q469" s="50"/>
      <c r="R469" s="286"/>
      <c r="S469" s="287"/>
      <c r="T469" s="287"/>
      <c r="U469" s="288"/>
    </row>
    <row r="470" spans="1:21" ht="49.5" customHeight="1">
      <c r="A470" s="637" t="s">
        <v>20</v>
      </c>
      <c r="B470" s="597" t="s">
        <v>655</v>
      </c>
      <c r="C470" s="594" t="s">
        <v>346</v>
      </c>
      <c r="D470" s="652">
        <v>5000</v>
      </c>
      <c r="E470" s="648"/>
      <c r="F470" s="648"/>
      <c r="G470" s="649">
        <v>5000</v>
      </c>
      <c r="H470" s="569"/>
      <c r="I470" s="567"/>
      <c r="J470" s="567"/>
      <c r="K470" s="568"/>
      <c r="L470" s="610"/>
      <c r="M470" s="569"/>
      <c r="N470" s="567"/>
      <c r="O470" s="567"/>
      <c r="P470" s="568"/>
      <c r="Q470" s="63"/>
      <c r="R470" s="569"/>
      <c r="S470" s="567"/>
      <c r="T470" s="567"/>
      <c r="U470" s="570"/>
    </row>
    <row r="471" spans="1:21" ht="43.5" customHeight="1" thickBot="1">
      <c r="A471" s="637" t="s">
        <v>284</v>
      </c>
      <c r="B471" s="597" t="s">
        <v>529</v>
      </c>
      <c r="C471" s="594" t="s">
        <v>344</v>
      </c>
      <c r="D471" s="652">
        <v>13000</v>
      </c>
      <c r="E471" s="648">
        <v>13000</v>
      </c>
      <c r="F471" s="648"/>
      <c r="G471" s="649"/>
      <c r="H471" s="569"/>
      <c r="I471" s="567"/>
      <c r="J471" s="567"/>
      <c r="K471" s="568"/>
      <c r="L471" s="643"/>
      <c r="M471" s="256"/>
      <c r="N471" s="567"/>
      <c r="O471" s="567"/>
      <c r="P471" s="568"/>
      <c r="Q471" s="52"/>
      <c r="R471" s="569"/>
      <c r="S471" s="567"/>
      <c r="T471" s="567"/>
      <c r="U471" s="570"/>
    </row>
    <row r="472" spans="1:21" ht="38.25" hidden="1" customHeight="1">
      <c r="A472" s="637" t="s">
        <v>285</v>
      </c>
      <c r="B472" s="598"/>
      <c r="C472" s="112" t="s">
        <v>94</v>
      </c>
      <c r="D472" s="652"/>
      <c r="E472" s="648"/>
      <c r="F472" s="648"/>
      <c r="G472" s="649"/>
      <c r="H472" s="569"/>
      <c r="I472" s="567"/>
      <c r="J472" s="567"/>
      <c r="K472" s="568"/>
      <c r="L472" s="643" t="s">
        <v>483</v>
      </c>
      <c r="M472" s="256"/>
      <c r="N472" s="567"/>
      <c r="O472" s="567"/>
      <c r="P472" s="568"/>
      <c r="Q472" s="52"/>
      <c r="R472" s="569"/>
      <c r="S472" s="567"/>
      <c r="T472" s="567"/>
      <c r="U472" s="570"/>
    </row>
    <row r="473" spans="1:21" ht="36.75" hidden="1" customHeight="1">
      <c r="A473" s="722" t="s">
        <v>286</v>
      </c>
      <c r="B473" s="599"/>
      <c r="C473" s="595" t="s">
        <v>346</v>
      </c>
      <c r="D473" s="652"/>
      <c r="E473" s="648"/>
      <c r="F473" s="648"/>
      <c r="G473" s="649"/>
      <c r="H473" s="307"/>
      <c r="I473" s="308"/>
      <c r="J473" s="308"/>
      <c r="K473" s="557"/>
      <c r="L473" s="355"/>
      <c r="M473" s="569"/>
      <c r="N473" s="567"/>
      <c r="O473" s="567"/>
      <c r="P473" s="568"/>
      <c r="Q473" s="52"/>
      <c r="R473" s="569"/>
      <c r="S473" s="567"/>
      <c r="T473" s="567"/>
      <c r="U473" s="570"/>
    </row>
    <row r="474" spans="1:21" ht="41.25" hidden="1" customHeight="1">
      <c r="A474" s="722" t="s">
        <v>571</v>
      </c>
      <c r="B474" s="599"/>
      <c r="C474" s="112" t="s">
        <v>344</v>
      </c>
      <c r="D474" s="652"/>
      <c r="E474" s="648"/>
      <c r="F474" s="648"/>
      <c r="G474" s="649"/>
      <c r="H474" s="307"/>
      <c r="I474" s="308"/>
      <c r="J474" s="308"/>
      <c r="K474" s="557"/>
      <c r="L474" s="355"/>
      <c r="M474" s="569"/>
      <c r="N474" s="567"/>
      <c r="O474" s="567"/>
      <c r="P474" s="568"/>
      <c r="Q474" s="52"/>
      <c r="R474" s="569"/>
      <c r="S474" s="567"/>
      <c r="T474" s="567"/>
      <c r="U474" s="570"/>
    </row>
    <row r="475" spans="1:21" ht="38.25" hidden="1" customHeight="1">
      <c r="A475" s="722" t="s">
        <v>308</v>
      </c>
      <c r="B475" s="600"/>
      <c r="C475" s="112" t="s">
        <v>89</v>
      </c>
      <c r="D475" s="652"/>
      <c r="E475" s="648"/>
      <c r="F475" s="648"/>
      <c r="G475" s="649"/>
      <c r="H475" s="569"/>
      <c r="I475" s="567"/>
      <c r="J475" s="567"/>
      <c r="K475" s="568"/>
      <c r="L475" s="643" t="s">
        <v>483</v>
      </c>
      <c r="M475" s="256"/>
      <c r="N475" s="567"/>
      <c r="O475" s="567"/>
      <c r="P475" s="568"/>
      <c r="Q475" s="52"/>
      <c r="R475" s="569"/>
      <c r="S475" s="567"/>
      <c r="T475" s="567"/>
      <c r="U475" s="570"/>
    </row>
    <row r="476" spans="1:21" ht="37.5" hidden="1" customHeight="1">
      <c r="A476" s="128" t="s">
        <v>419</v>
      </c>
      <c r="B476" s="597" t="s">
        <v>491</v>
      </c>
      <c r="C476" s="112" t="s">
        <v>346</v>
      </c>
      <c r="D476" s="652"/>
      <c r="E476" s="648"/>
      <c r="F476" s="648"/>
      <c r="G476" s="649"/>
      <c r="H476" s="569"/>
      <c r="I476" s="567"/>
      <c r="J476" s="567"/>
      <c r="K476" s="568"/>
      <c r="L476" s="355"/>
      <c r="M476" s="256"/>
      <c r="N476" s="567"/>
      <c r="O476" s="567"/>
      <c r="P476" s="568"/>
      <c r="Q476" s="52"/>
      <c r="R476" s="569"/>
      <c r="S476" s="567"/>
      <c r="T476" s="567"/>
      <c r="U476" s="570"/>
    </row>
    <row r="477" spans="1:21" ht="16.5" hidden="1" customHeight="1">
      <c r="A477" s="1135" t="s">
        <v>417</v>
      </c>
      <c r="B477" s="1147" t="s">
        <v>423</v>
      </c>
      <c r="C477" s="1137" t="s">
        <v>346</v>
      </c>
      <c r="D477" s="1142"/>
      <c r="E477" s="1143"/>
      <c r="F477" s="1143"/>
      <c r="G477" s="1146"/>
      <c r="H477" s="569"/>
      <c r="I477" s="567"/>
      <c r="J477" s="567"/>
      <c r="K477" s="568"/>
      <c r="L477" s="355"/>
      <c r="M477" s="256"/>
      <c r="N477" s="567"/>
      <c r="O477" s="567"/>
      <c r="P477" s="568"/>
      <c r="Q477" s="52"/>
      <c r="R477" s="569"/>
      <c r="S477" s="567"/>
      <c r="T477" s="567"/>
      <c r="U477" s="570"/>
    </row>
    <row r="478" spans="1:21" ht="31.5" hidden="1" customHeight="1">
      <c r="A478" s="1135"/>
      <c r="B478" s="1147"/>
      <c r="C478" s="1137"/>
      <c r="D478" s="1142"/>
      <c r="E478" s="1143"/>
      <c r="F478" s="1143"/>
      <c r="G478" s="1146"/>
      <c r="H478" s="569"/>
      <c r="I478" s="567"/>
      <c r="J478" s="567"/>
      <c r="K478" s="568"/>
      <c r="L478" s="355"/>
      <c r="M478" s="256"/>
      <c r="N478" s="567"/>
      <c r="O478" s="567"/>
      <c r="P478" s="568"/>
      <c r="Q478" s="52"/>
      <c r="R478" s="569"/>
      <c r="S478" s="567"/>
      <c r="T478" s="567"/>
      <c r="U478" s="570"/>
    </row>
    <row r="479" spans="1:21" ht="15.75" hidden="1" customHeight="1">
      <c r="A479" s="1135" t="s">
        <v>418</v>
      </c>
      <c r="B479" s="1147" t="s">
        <v>453</v>
      </c>
      <c r="C479" s="1137" t="s">
        <v>346</v>
      </c>
      <c r="D479" s="1142"/>
      <c r="E479" s="1143"/>
      <c r="F479" s="1143"/>
      <c r="G479" s="1146"/>
      <c r="H479" s="569"/>
      <c r="I479" s="567"/>
      <c r="J479" s="567"/>
      <c r="K479" s="568"/>
      <c r="L479" s="355"/>
      <c r="M479" s="256"/>
      <c r="N479" s="567"/>
      <c r="O479" s="567"/>
      <c r="P479" s="568"/>
      <c r="Q479" s="52"/>
      <c r="R479" s="569"/>
      <c r="S479" s="567"/>
      <c r="T479" s="567"/>
      <c r="U479" s="570"/>
    </row>
    <row r="480" spans="1:21" ht="25.5" hidden="1" customHeight="1">
      <c r="A480" s="1135"/>
      <c r="B480" s="1147"/>
      <c r="C480" s="1137"/>
      <c r="D480" s="1142"/>
      <c r="E480" s="1143"/>
      <c r="F480" s="1143"/>
      <c r="G480" s="1146"/>
      <c r="H480" s="569"/>
      <c r="I480" s="567"/>
      <c r="J480" s="567"/>
      <c r="K480" s="568"/>
      <c r="L480" s="355"/>
      <c r="M480" s="256"/>
      <c r="N480" s="567"/>
      <c r="O480" s="567"/>
      <c r="P480" s="568"/>
      <c r="Q480" s="52"/>
      <c r="R480" s="569"/>
      <c r="S480" s="567"/>
      <c r="T480" s="567"/>
      <c r="U480" s="570"/>
    </row>
    <row r="481" spans="1:21" ht="20.25" hidden="1" customHeight="1">
      <c r="A481" s="1135" t="s">
        <v>420</v>
      </c>
      <c r="B481" s="1149" t="s">
        <v>529</v>
      </c>
      <c r="C481" s="1137"/>
      <c r="D481" s="1142"/>
      <c r="E481" s="1143"/>
      <c r="F481" s="1143"/>
      <c r="G481" s="1146"/>
      <c r="H481" s="1144"/>
      <c r="I481" s="1145"/>
      <c r="J481" s="1145"/>
      <c r="K481" s="1164"/>
      <c r="L481" s="355"/>
      <c r="M481" s="256"/>
      <c r="N481" s="567"/>
      <c r="O481" s="567"/>
      <c r="P481" s="568"/>
      <c r="Q481" s="52"/>
      <c r="R481" s="569"/>
      <c r="S481" s="567"/>
      <c r="T481" s="567"/>
      <c r="U481" s="570"/>
    </row>
    <row r="482" spans="1:21" ht="22.5" hidden="1" customHeight="1">
      <c r="A482" s="1135"/>
      <c r="B482" s="1149"/>
      <c r="C482" s="1137"/>
      <c r="D482" s="1142"/>
      <c r="E482" s="1143"/>
      <c r="F482" s="1143"/>
      <c r="G482" s="1146"/>
      <c r="H482" s="1144"/>
      <c r="I482" s="1145"/>
      <c r="J482" s="1145"/>
      <c r="K482" s="1164"/>
      <c r="L482" s="355"/>
      <c r="M482" s="256"/>
      <c r="N482" s="567"/>
      <c r="O482" s="567"/>
      <c r="P482" s="568"/>
      <c r="Q482" s="52"/>
      <c r="R482" s="569"/>
      <c r="S482" s="567"/>
      <c r="T482" s="567"/>
      <c r="U482" s="570"/>
    </row>
    <row r="483" spans="1:21" ht="15" hidden="1" customHeight="1">
      <c r="A483" s="1135" t="s">
        <v>421</v>
      </c>
      <c r="B483" s="1147" t="s">
        <v>392</v>
      </c>
      <c r="C483" s="1137" t="s">
        <v>349</v>
      </c>
      <c r="D483" s="1142"/>
      <c r="E483" s="1143"/>
      <c r="F483" s="1143"/>
      <c r="G483" s="1146"/>
      <c r="H483" s="1144"/>
      <c r="I483" s="1145"/>
      <c r="J483" s="1145"/>
      <c r="K483" s="1164"/>
      <c r="L483" s="355"/>
      <c r="M483" s="256"/>
      <c r="N483" s="567"/>
      <c r="O483" s="567"/>
      <c r="P483" s="568"/>
      <c r="Q483" s="52"/>
      <c r="R483" s="569"/>
      <c r="S483" s="567"/>
      <c r="T483" s="567"/>
      <c r="U483" s="570"/>
    </row>
    <row r="484" spans="1:21" ht="15.75" hidden="1" customHeight="1">
      <c r="A484" s="1135"/>
      <c r="B484" s="1147"/>
      <c r="C484" s="1137"/>
      <c r="D484" s="1142"/>
      <c r="E484" s="1143"/>
      <c r="F484" s="1143"/>
      <c r="G484" s="1146"/>
      <c r="H484" s="1144"/>
      <c r="I484" s="1145"/>
      <c r="J484" s="1145"/>
      <c r="K484" s="1164"/>
      <c r="L484" s="355"/>
      <c r="M484" s="256"/>
      <c r="N484" s="567"/>
      <c r="O484" s="567"/>
      <c r="P484" s="568"/>
      <c r="Q484" s="52"/>
      <c r="R484" s="569"/>
      <c r="S484" s="567"/>
      <c r="T484" s="567"/>
      <c r="U484" s="570"/>
    </row>
    <row r="485" spans="1:21" ht="16.5" hidden="1" customHeight="1">
      <c r="A485" s="1138" t="s">
        <v>539</v>
      </c>
      <c r="B485" s="1140" t="s">
        <v>538</v>
      </c>
      <c r="C485" s="1215" t="s">
        <v>91</v>
      </c>
      <c r="D485" s="652"/>
      <c r="E485" s="648"/>
      <c r="F485" s="648"/>
      <c r="G485" s="649"/>
      <c r="H485" s="605"/>
      <c r="I485" s="603"/>
      <c r="J485" s="603"/>
      <c r="K485" s="604"/>
      <c r="L485" s="606"/>
      <c r="M485" s="256"/>
      <c r="N485" s="603"/>
      <c r="O485" s="603"/>
      <c r="P485" s="604"/>
      <c r="Q485" s="52"/>
      <c r="R485" s="605"/>
      <c r="S485" s="603"/>
      <c r="T485" s="603"/>
      <c r="U485" s="607"/>
    </row>
    <row r="486" spans="1:21" ht="39.75" hidden="1" customHeight="1">
      <c r="A486" s="1139"/>
      <c r="B486" s="1141"/>
      <c r="C486" s="1216"/>
      <c r="D486" s="652"/>
      <c r="E486" s="648"/>
      <c r="F486" s="648"/>
      <c r="G486" s="649"/>
      <c r="H486" s="569"/>
      <c r="I486" s="567"/>
      <c r="J486" s="567"/>
      <c r="K486" s="568"/>
      <c r="L486" s="355"/>
      <c r="M486" s="256"/>
      <c r="N486" s="567"/>
      <c r="O486" s="567"/>
      <c r="P486" s="568"/>
      <c r="Q486" s="52"/>
      <c r="R486" s="569"/>
      <c r="S486" s="567"/>
      <c r="T486" s="567"/>
      <c r="U486" s="570"/>
    </row>
    <row r="487" spans="1:21" ht="26.25" hidden="1" customHeight="1">
      <c r="A487" s="1135" t="s">
        <v>542</v>
      </c>
      <c r="B487" s="1136" t="s">
        <v>543</v>
      </c>
      <c r="C487" s="1137" t="s">
        <v>346</v>
      </c>
      <c r="D487" s="652"/>
      <c r="E487" s="648"/>
      <c r="F487" s="648"/>
      <c r="G487" s="649"/>
      <c r="H487" s="569"/>
      <c r="I487" s="567"/>
      <c r="J487" s="567"/>
      <c r="K487" s="568"/>
      <c r="L487" s="355"/>
      <c r="M487" s="256"/>
      <c r="N487" s="567"/>
      <c r="O487" s="567"/>
      <c r="P487" s="568"/>
      <c r="Q487" s="52"/>
      <c r="R487" s="569"/>
      <c r="S487" s="567"/>
      <c r="T487" s="567"/>
      <c r="U487" s="570"/>
    </row>
    <row r="488" spans="1:21" ht="21.75" hidden="1" customHeight="1">
      <c r="A488" s="1135"/>
      <c r="B488" s="1136"/>
      <c r="C488" s="1137"/>
      <c r="D488" s="652"/>
      <c r="E488" s="648"/>
      <c r="F488" s="648"/>
      <c r="G488" s="649"/>
      <c r="H488" s="569"/>
      <c r="I488" s="567"/>
      <c r="J488" s="567"/>
      <c r="K488" s="568"/>
      <c r="L488" s="355"/>
      <c r="M488" s="256"/>
      <c r="N488" s="567"/>
      <c r="O488" s="567"/>
      <c r="P488" s="568"/>
      <c r="Q488" s="52"/>
      <c r="R488" s="569"/>
      <c r="S488" s="567"/>
      <c r="T488" s="567"/>
      <c r="U488" s="570"/>
    </row>
    <row r="489" spans="1:21" ht="39" hidden="1" customHeight="1">
      <c r="A489" s="588"/>
      <c r="B489" s="597"/>
      <c r="C489" s="112"/>
      <c r="D489" s="652"/>
      <c r="E489" s="648"/>
      <c r="F489" s="648"/>
      <c r="G489" s="649"/>
      <c r="H489" s="569"/>
      <c r="I489" s="567"/>
      <c r="J489" s="567"/>
      <c r="K489" s="568"/>
      <c r="L489" s="355"/>
      <c r="M489" s="256"/>
      <c r="N489" s="567"/>
      <c r="O489" s="567"/>
      <c r="P489" s="568"/>
      <c r="Q489" s="52"/>
      <c r="R489" s="569"/>
      <c r="S489" s="567"/>
      <c r="T489" s="567"/>
      <c r="U489" s="570"/>
    </row>
    <row r="490" spans="1:21" ht="49.5" hidden="1" customHeight="1">
      <c r="A490" s="1126"/>
      <c r="B490" s="602"/>
      <c r="C490" s="106"/>
      <c r="D490" s="564"/>
      <c r="E490" s="565"/>
      <c r="F490" s="565"/>
      <c r="G490" s="566"/>
      <c r="H490" s="550"/>
      <c r="I490" s="551"/>
      <c r="J490" s="551"/>
      <c r="K490" s="212"/>
      <c r="L490" s="592"/>
      <c r="M490" s="309"/>
      <c r="N490" s="551"/>
      <c r="O490" s="551"/>
      <c r="P490" s="212"/>
      <c r="Q490" s="593"/>
      <c r="R490" s="550"/>
      <c r="S490" s="551"/>
      <c r="T490" s="551"/>
      <c r="U490" s="1124"/>
    </row>
    <row r="491" spans="1:21" ht="49.5" customHeight="1">
      <c r="A491" s="1249" t="s">
        <v>722</v>
      </c>
      <c r="B491" s="1250" t="s">
        <v>460</v>
      </c>
      <c r="C491" s="1251"/>
      <c r="D491" s="1252">
        <f>SUM(D493)</f>
        <v>13300</v>
      </c>
      <c r="E491" s="1253"/>
      <c r="F491" s="1253"/>
      <c r="G491" s="1254">
        <f>SUM(G493)</f>
        <v>13300</v>
      </c>
      <c r="H491" s="1255"/>
      <c r="I491" s="1256"/>
      <c r="J491" s="1256"/>
      <c r="K491" s="1257"/>
      <c r="L491" s="1258"/>
      <c r="M491" s="1259"/>
      <c r="N491" s="1256"/>
      <c r="O491" s="1256"/>
      <c r="P491" s="1257"/>
      <c r="Q491" s="1260"/>
      <c r="R491" s="1255"/>
      <c r="S491" s="1256"/>
      <c r="T491" s="1256"/>
      <c r="U491" s="1261"/>
    </row>
    <row r="492" spans="1:21" ht="14.25" customHeight="1">
      <c r="A492" s="1126"/>
      <c r="B492" s="602" t="s">
        <v>723</v>
      </c>
      <c r="C492" s="106"/>
      <c r="D492" s="564"/>
      <c r="E492" s="565"/>
      <c r="F492" s="565"/>
      <c r="G492" s="566"/>
      <c r="H492" s="550"/>
      <c r="I492" s="551"/>
      <c r="J492" s="551"/>
      <c r="K492" s="212"/>
      <c r="L492" s="592"/>
      <c r="M492" s="309"/>
      <c r="N492" s="551"/>
      <c r="O492" s="551"/>
      <c r="P492" s="212"/>
      <c r="Q492" s="593"/>
      <c r="R492" s="550"/>
      <c r="S492" s="551"/>
      <c r="T492" s="551"/>
      <c r="U492" s="1124"/>
    </row>
    <row r="493" spans="1:21" ht="30" customHeight="1" thickBot="1">
      <c r="A493" s="571" t="s">
        <v>724</v>
      </c>
      <c r="B493" s="601" t="s">
        <v>721</v>
      </c>
      <c r="C493" s="596" t="s">
        <v>346</v>
      </c>
      <c r="D493" s="200">
        <v>13300</v>
      </c>
      <c r="E493" s="196"/>
      <c r="F493" s="196"/>
      <c r="G493" s="552">
        <v>13300</v>
      </c>
      <c r="H493" s="302"/>
      <c r="I493" s="303"/>
      <c r="J493" s="303"/>
      <c r="K493" s="304"/>
      <c r="L493" s="572"/>
      <c r="M493" s="1262"/>
      <c r="N493" s="303"/>
      <c r="O493" s="303"/>
      <c r="P493" s="304"/>
      <c r="Q493" s="573"/>
      <c r="R493" s="302"/>
      <c r="S493" s="303"/>
      <c r="T493" s="303"/>
      <c r="U493" s="305"/>
    </row>
    <row r="494" spans="1:21" ht="57.75" thickBot="1">
      <c r="A494" s="44" t="s">
        <v>19</v>
      </c>
      <c r="B494" s="139" t="s">
        <v>659</v>
      </c>
      <c r="C494" s="43" t="s">
        <v>175</v>
      </c>
      <c r="D494" s="310">
        <f>SUM(D496,D505)</f>
        <v>1345794</v>
      </c>
      <c r="E494" s="310">
        <f t="shared" ref="E494:G494" si="59">SUM(E496,E505)</f>
        <v>1345794</v>
      </c>
      <c r="F494" s="310">
        <f t="shared" si="59"/>
        <v>15700</v>
      </c>
      <c r="G494" s="310">
        <f t="shared" si="59"/>
        <v>0</v>
      </c>
      <c r="H494" s="215">
        <f>SUM(H496,H505)</f>
        <v>0</v>
      </c>
      <c r="I494" s="216">
        <f t="shared" ref="I494:K494" si="60">SUM(I496,I505)</f>
        <v>0</v>
      </c>
      <c r="J494" s="216">
        <f t="shared" si="60"/>
        <v>0</v>
      </c>
      <c r="K494" s="217">
        <f t="shared" si="60"/>
        <v>0</v>
      </c>
      <c r="L494" s="832"/>
      <c r="M494" s="215">
        <f>SUM(M496,M505)</f>
        <v>653200</v>
      </c>
      <c r="N494" s="216">
        <f t="shared" ref="N494:P494" si="61">SUM(N496,N505)</f>
        <v>653200</v>
      </c>
      <c r="O494" s="216">
        <f t="shared" si="61"/>
        <v>612000</v>
      </c>
      <c r="P494" s="217">
        <f t="shared" si="61"/>
        <v>0</v>
      </c>
      <c r="Q494" s="835"/>
      <c r="R494" s="215">
        <f>SUM(R496,R505)</f>
        <v>200</v>
      </c>
      <c r="S494" s="216">
        <f t="shared" ref="S494:U494" si="62">SUM(S496,S505)</f>
        <v>200</v>
      </c>
      <c r="T494" s="216">
        <f t="shared" si="62"/>
        <v>0</v>
      </c>
      <c r="U494" s="217">
        <f t="shared" si="62"/>
        <v>0</v>
      </c>
    </row>
    <row r="495" spans="1:21" ht="16.5" customHeight="1">
      <c r="A495" s="41"/>
      <c r="B495" s="138" t="s">
        <v>18</v>
      </c>
      <c r="C495" s="97"/>
      <c r="D495" s="311"/>
      <c r="E495" s="312"/>
      <c r="F495" s="312"/>
      <c r="G495" s="313"/>
      <c r="H495" s="829"/>
      <c r="I495" s="830"/>
      <c r="J495" s="830"/>
      <c r="K495" s="831"/>
      <c r="L495" s="365"/>
      <c r="M495" s="833"/>
      <c r="N495" s="830"/>
      <c r="O495" s="830"/>
      <c r="P495" s="831"/>
      <c r="Q495" s="836"/>
      <c r="R495" s="833"/>
      <c r="S495" s="830"/>
      <c r="T495" s="830"/>
      <c r="U495" s="834"/>
    </row>
    <row r="496" spans="1:21" ht="36" customHeight="1">
      <c r="A496" s="814" t="s">
        <v>17</v>
      </c>
      <c r="B496" s="21" t="s">
        <v>572</v>
      </c>
      <c r="C496" s="47" t="s">
        <v>175</v>
      </c>
      <c r="D496" s="222">
        <f t="shared" ref="D496:K496" si="63">SUM(D498:D504)</f>
        <v>1282794</v>
      </c>
      <c r="E496" s="223">
        <f t="shared" si="63"/>
        <v>1282794</v>
      </c>
      <c r="F496" s="223">
        <f t="shared" si="63"/>
        <v>0</v>
      </c>
      <c r="G496" s="231">
        <f t="shared" si="63"/>
        <v>0</v>
      </c>
      <c r="H496" s="222">
        <f t="shared" si="63"/>
        <v>0</v>
      </c>
      <c r="I496" s="223">
        <f t="shared" si="63"/>
        <v>0</v>
      </c>
      <c r="J496" s="223">
        <f t="shared" si="63"/>
        <v>0</v>
      </c>
      <c r="K496" s="231">
        <f t="shared" si="63"/>
        <v>0</v>
      </c>
      <c r="L496" s="366"/>
      <c r="M496" s="244">
        <f>SUM(M498:M504)</f>
        <v>0</v>
      </c>
      <c r="N496" s="223">
        <f>SUM(N498:N504)</f>
        <v>0</v>
      </c>
      <c r="O496" s="223">
        <f>SUM(O498:O504)</f>
        <v>0</v>
      </c>
      <c r="P496" s="231">
        <f>SUM(P498:P504)</f>
        <v>0</v>
      </c>
      <c r="Q496" s="837"/>
      <c r="R496" s="244">
        <f>SUM(R498:R504)</f>
        <v>0</v>
      </c>
      <c r="S496" s="223">
        <f>SUM(S498:S504)</f>
        <v>0</v>
      </c>
      <c r="T496" s="223">
        <f>SUM(T498:T504)</f>
        <v>0</v>
      </c>
      <c r="U496" s="224">
        <f>SUM(U498:U504)</f>
        <v>0</v>
      </c>
    </row>
    <row r="497" spans="1:21">
      <c r="A497" s="819"/>
      <c r="B497" s="815" t="s">
        <v>16</v>
      </c>
      <c r="C497" s="813"/>
      <c r="D497" s="314"/>
      <c r="E497" s="285"/>
      <c r="F497" s="285"/>
      <c r="G497" s="316"/>
      <c r="H497" s="314"/>
      <c r="I497" s="285"/>
      <c r="J497" s="285"/>
      <c r="K497" s="316"/>
      <c r="L497" s="366"/>
      <c r="M497" s="828"/>
      <c r="N497" s="285"/>
      <c r="O497" s="285"/>
      <c r="P497" s="316"/>
      <c r="Q497" s="837"/>
      <c r="R497" s="828"/>
      <c r="S497" s="285"/>
      <c r="T497" s="285"/>
      <c r="U497" s="315"/>
    </row>
    <row r="498" spans="1:21" ht="24">
      <c r="A498" s="819" t="s">
        <v>15</v>
      </c>
      <c r="B498" s="676" t="s">
        <v>14</v>
      </c>
      <c r="C498" s="813" t="s">
        <v>175</v>
      </c>
      <c r="D498" s="386">
        <v>119100</v>
      </c>
      <c r="E498" s="816">
        <f>+D498</f>
        <v>119100</v>
      </c>
      <c r="F498" s="816"/>
      <c r="G498" s="227"/>
      <c r="H498" s="807"/>
      <c r="I498" s="816"/>
      <c r="J498" s="816"/>
      <c r="K498" s="227"/>
      <c r="L498" s="367"/>
      <c r="M498" s="245"/>
      <c r="N498" s="816"/>
      <c r="O498" s="816"/>
      <c r="P498" s="227"/>
      <c r="Q498" s="838"/>
      <c r="R498" s="245"/>
      <c r="S498" s="816"/>
      <c r="T498" s="816"/>
      <c r="U498" s="810"/>
    </row>
    <row r="499" spans="1:21" ht="20.25" customHeight="1">
      <c r="A499" s="819" t="s">
        <v>13</v>
      </c>
      <c r="B499" s="676" t="s">
        <v>658</v>
      </c>
      <c r="C499" s="813"/>
      <c r="D499" s="807">
        <v>90000</v>
      </c>
      <c r="E499" s="816">
        <f t="shared" ref="E499:E504" si="64">+D499</f>
        <v>90000</v>
      </c>
      <c r="F499" s="816"/>
      <c r="G499" s="227"/>
      <c r="H499" s="807"/>
      <c r="I499" s="816"/>
      <c r="J499" s="816"/>
      <c r="K499" s="227"/>
      <c r="L499" s="367"/>
      <c r="M499" s="245"/>
      <c r="N499" s="816"/>
      <c r="O499" s="816"/>
      <c r="P499" s="227"/>
      <c r="Q499" s="839"/>
      <c r="R499" s="245"/>
      <c r="S499" s="816"/>
      <c r="T499" s="816"/>
      <c r="U499" s="810"/>
    </row>
    <row r="500" spans="1:21" ht="18" customHeight="1">
      <c r="A500" s="819" t="s">
        <v>573</v>
      </c>
      <c r="B500" s="676" t="s">
        <v>390</v>
      </c>
      <c r="C500" s="813" t="s">
        <v>344</v>
      </c>
      <c r="D500" s="806">
        <v>11000</v>
      </c>
      <c r="E500" s="816">
        <f t="shared" si="64"/>
        <v>11000</v>
      </c>
      <c r="F500" s="816"/>
      <c r="G500" s="227"/>
      <c r="H500" s="807"/>
      <c r="I500" s="816"/>
      <c r="J500" s="816"/>
      <c r="K500" s="227"/>
      <c r="L500" s="367"/>
      <c r="M500" s="245"/>
      <c r="N500" s="816"/>
      <c r="O500" s="816"/>
      <c r="P500" s="227"/>
      <c r="Q500" s="839"/>
      <c r="R500" s="245"/>
      <c r="S500" s="816"/>
      <c r="T500" s="816"/>
      <c r="U500" s="810"/>
    </row>
    <row r="501" spans="1:21" ht="36" customHeight="1">
      <c r="A501" s="819" t="s">
        <v>337</v>
      </c>
      <c r="B501" s="676" t="s">
        <v>345</v>
      </c>
      <c r="C501" s="813" t="s">
        <v>344</v>
      </c>
      <c r="D501" s="806">
        <v>4000</v>
      </c>
      <c r="E501" s="816">
        <f t="shared" si="64"/>
        <v>4000</v>
      </c>
      <c r="F501" s="816"/>
      <c r="G501" s="227"/>
      <c r="H501" s="807"/>
      <c r="I501" s="816"/>
      <c r="J501" s="816"/>
      <c r="K501" s="227"/>
      <c r="L501" s="367"/>
      <c r="M501" s="245"/>
      <c r="N501" s="816"/>
      <c r="O501" s="816"/>
      <c r="P501" s="227"/>
      <c r="Q501" s="839"/>
      <c r="R501" s="245"/>
      <c r="S501" s="816"/>
      <c r="T501" s="816"/>
      <c r="U501" s="810"/>
    </row>
    <row r="502" spans="1:21" ht="30" customHeight="1">
      <c r="A502" s="848" t="s">
        <v>377</v>
      </c>
      <c r="B502" s="676" t="s">
        <v>656</v>
      </c>
      <c r="C502" s="813"/>
      <c r="D502" s="806">
        <v>500</v>
      </c>
      <c r="E502" s="816">
        <f t="shared" si="64"/>
        <v>500</v>
      </c>
      <c r="F502" s="816"/>
      <c r="G502" s="227"/>
      <c r="H502" s="807"/>
      <c r="I502" s="816"/>
      <c r="J502" s="816"/>
      <c r="K502" s="227"/>
      <c r="L502" s="367"/>
      <c r="M502" s="245"/>
      <c r="N502" s="816"/>
      <c r="O502" s="816"/>
      <c r="P502" s="227"/>
      <c r="Q502" s="839"/>
      <c r="R502" s="245"/>
      <c r="S502" s="816"/>
      <c r="T502" s="816"/>
      <c r="U502" s="810"/>
    </row>
    <row r="503" spans="1:21" ht="30" customHeight="1">
      <c r="A503" s="848" t="s">
        <v>678</v>
      </c>
      <c r="B503" s="676" t="s">
        <v>657</v>
      </c>
      <c r="C503" s="813"/>
      <c r="D503" s="806">
        <v>2500</v>
      </c>
      <c r="E503" s="816">
        <f t="shared" si="64"/>
        <v>2500</v>
      </c>
      <c r="F503" s="816"/>
      <c r="G503" s="227"/>
      <c r="H503" s="807"/>
      <c r="I503" s="816"/>
      <c r="J503" s="816"/>
      <c r="K503" s="227"/>
      <c r="L503" s="367"/>
      <c r="M503" s="245"/>
      <c r="N503" s="816"/>
      <c r="O503" s="816"/>
      <c r="P503" s="227"/>
      <c r="Q503" s="839"/>
      <c r="R503" s="245"/>
      <c r="S503" s="816"/>
      <c r="T503" s="816"/>
      <c r="U503" s="810"/>
    </row>
    <row r="504" spans="1:21" ht="16.5" customHeight="1" thickBot="1">
      <c r="A504" s="1263" t="s">
        <v>679</v>
      </c>
      <c r="B504" s="1100" t="s">
        <v>80</v>
      </c>
      <c r="C504" s="1090" t="s">
        <v>344</v>
      </c>
      <c r="D504" s="1264">
        <v>1055694</v>
      </c>
      <c r="E504" s="1111">
        <f t="shared" si="64"/>
        <v>1055694</v>
      </c>
      <c r="F504" s="211"/>
      <c r="G504" s="1265"/>
      <c r="H504" s="550"/>
      <c r="I504" s="551"/>
      <c r="J504" s="1111"/>
      <c r="K504" s="907"/>
      <c r="L504" s="363"/>
      <c r="M504" s="257"/>
      <c r="N504" s="551"/>
      <c r="O504" s="1111"/>
      <c r="P504" s="907"/>
      <c r="Q504" s="1266"/>
      <c r="R504" s="257"/>
      <c r="S504" s="551"/>
      <c r="T504" s="1111"/>
      <c r="U504" s="1114"/>
    </row>
    <row r="505" spans="1:21" ht="27.75" customHeight="1" thickBot="1">
      <c r="A505" s="1231" t="s">
        <v>428</v>
      </c>
      <c r="B505" s="1232" t="s">
        <v>374</v>
      </c>
      <c r="C505" s="1267" t="s">
        <v>357</v>
      </c>
      <c r="D505" s="1268">
        <v>63000</v>
      </c>
      <c r="E505" s="1269">
        <f>+D505</f>
        <v>63000</v>
      </c>
      <c r="F505" s="1269">
        <v>15700</v>
      </c>
      <c r="G505" s="1270"/>
      <c r="H505" s="1271"/>
      <c r="I505" s="1272"/>
      <c r="J505" s="1272"/>
      <c r="K505" s="1270"/>
      <c r="L505" s="1273" t="s">
        <v>483</v>
      </c>
      <c r="M505" s="1274">
        <v>653200</v>
      </c>
      <c r="N505" s="1272">
        <f>+M505</f>
        <v>653200</v>
      </c>
      <c r="O505" s="1269">
        <v>612000</v>
      </c>
      <c r="P505" s="1270"/>
      <c r="Q505" s="1275">
        <v>11013</v>
      </c>
      <c r="R505" s="1276">
        <v>200</v>
      </c>
      <c r="S505" s="1272">
        <v>200</v>
      </c>
      <c r="T505" s="1272"/>
      <c r="U505" s="1277"/>
    </row>
    <row r="506" spans="1:21" ht="38.25" hidden="1" customHeight="1">
      <c r="A506" s="19" t="s">
        <v>475</v>
      </c>
      <c r="B506" s="754" t="s">
        <v>395</v>
      </c>
      <c r="C506" s="755" t="s">
        <v>344</v>
      </c>
      <c r="D506" s="708"/>
      <c r="E506" s="709"/>
      <c r="F506" s="709"/>
      <c r="G506" s="756"/>
      <c r="H506" s="757"/>
      <c r="I506" s="274"/>
      <c r="J506" s="743"/>
      <c r="K506" s="218"/>
      <c r="L506" s="758"/>
      <c r="M506" s="757"/>
      <c r="N506" s="274"/>
      <c r="O506" s="743"/>
      <c r="P506" s="218"/>
      <c r="Q506" s="759"/>
      <c r="R506" s="757"/>
      <c r="S506" s="274"/>
      <c r="T506" s="743"/>
      <c r="U506" s="744"/>
    </row>
    <row r="507" spans="1:21" hidden="1">
      <c r="A507" s="424" t="s">
        <v>13</v>
      </c>
      <c r="B507" s="20" t="s">
        <v>343</v>
      </c>
      <c r="C507" s="421" t="s">
        <v>175</v>
      </c>
      <c r="D507" s="417"/>
      <c r="E507" s="423"/>
      <c r="F507" s="423"/>
      <c r="G507" s="227"/>
      <c r="H507" s="417"/>
      <c r="I507" s="423"/>
      <c r="J507" s="423"/>
      <c r="K507" s="227"/>
      <c r="L507" s="553" t="s">
        <v>483</v>
      </c>
      <c r="M507" s="417"/>
      <c r="N507" s="423"/>
      <c r="O507" s="423"/>
      <c r="P507" s="227"/>
      <c r="Q507" s="63"/>
      <c r="R507" s="417"/>
      <c r="S507" s="423"/>
      <c r="T507" s="423"/>
      <c r="U507" s="418"/>
    </row>
    <row r="508" spans="1:21" ht="38.25" hidden="1" customHeight="1">
      <c r="A508" s="424" t="s">
        <v>475</v>
      </c>
      <c r="B508" s="20" t="s">
        <v>455</v>
      </c>
      <c r="C508" s="421" t="s">
        <v>344</v>
      </c>
      <c r="D508" s="174"/>
      <c r="E508" s="175"/>
      <c r="F508" s="175"/>
      <c r="G508" s="176"/>
      <c r="H508" s="435"/>
      <c r="I508" s="422"/>
      <c r="J508" s="423"/>
      <c r="K508" s="227"/>
      <c r="L508" s="420"/>
      <c r="M508" s="435"/>
      <c r="N508" s="422"/>
      <c r="O508" s="423"/>
      <c r="P508" s="227"/>
      <c r="Q508" s="425"/>
      <c r="R508" s="435"/>
      <c r="S508" s="422"/>
      <c r="T508" s="423"/>
      <c r="U508" s="418"/>
    </row>
    <row r="509" spans="1:21" ht="38.25" hidden="1" customHeight="1">
      <c r="A509" s="424" t="s">
        <v>476</v>
      </c>
      <c r="B509" s="20" t="s">
        <v>457</v>
      </c>
      <c r="C509" s="421"/>
      <c r="D509" s="174"/>
      <c r="E509" s="175"/>
      <c r="F509" s="175"/>
      <c r="G509" s="176"/>
      <c r="H509" s="435"/>
      <c r="I509" s="422"/>
      <c r="J509" s="423"/>
      <c r="K509" s="227"/>
      <c r="L509" s="420"/>
      <c r="M509" s="435"/>
      <c r="N509" s="422"/>
      <c r="O509" s="423"/>
      <c r="P509" s="227"/>
      <c r="Q509" s="425"/>
      <c r="R509" s="435"/>
      <c r="S509" s="422"/>
      <c r="T509" s="423"/>
      <c r="U509" s="418"/>
    </row>
    <row r="510" spans="1:21" ht="16.5" hidden="1" customHeight="1">
      <c r="A510" s="424"/>
      <c r="B510" s="21" t="s">
        <v>425</v>
      </c>
      <c r="C510" s="421"/>
      <c r="D510" s="317">
        <f>SUM(D512:D519)</f>
        <v>0</v>
      </c>
      <c r="E510" s="318">
        <f>SUM(E512:E519)</f>
        <v>0</v>
      </c>
      <c r="F510" s="318">
        <f>SUM(F512:F519)</f>
        <v>0</v>
      </c>
      <c r="G510" s="459">
        <f>SUM(G512:G519)</f>
        <v>0</v>
      </c>
      <c r="H510" s="435"/>
      <c r="I510" s="422"/>
      <c r="J510" s="423"/>
      <c r="K510" s="227"/>
      <c r="L510" s="420"/>
      <c r="M510" s="435"/>
      <c r="N510" s="422"/>
      <c r="O510" s="423"/>
      <c r="P510" s="227"/>
      <c r="Q510" s="425"/>
      <c r="R510" s="435"/>
      <c r="S510" s="422"/>
      <c r="T510" s="423"/>
      <c r="U510" s="418"/>
    </row>
    <row r="511" spans="1:21" ht="16.5" hidden="1" customHeight="1">
      <c r="A511" s="419"/>
      <c r="B511" s="20" t="s">
        <v>244</v>
      </c>
      <c r="C511" s="421"/>
      <c r="D511" s="174"/>
      <c r="E511" s="175"/>
      <c r="F511" s="175"/>
      <c r="G511" s="176"/>
      <c r="H511" s="435"/>
      <c r="I511" s="422"/>
      <c r="J511" s="423"/>
      <c r="K511" s="227"/>
      <c r="L511" s="420"/>
      <c r="M511" s="435"/>
      <c r="N511" s="422"/>
      <c r="O511" s="423"/>
      <c r="P511" s="227"/>
      <c r="Q511" s="425"/>
      <c r="R511" s="435"/>
      <c r="S511" s="422"/>
      <c r="T511" s="423"/>
      <c r="U511" s="418"/>
    </row>
    <row r="512" spans="1:21" ht="16.5" hidden="1" customHeight="1">
      <c r="A512" s="419" t="s">
        <v>428</v>
      </c>
      <c r="B512" s="21" t="s">
        <v>228</v>
      </c>
      <c r="C512" s="421" t="s">
        <v>344</v>
      </c>
      <c r="D512" s="229"/>
      <c r="E512" s="230"/>
      <c r="F512" s="175"/>
      <c r="G512" s="176"/>
      <c r="H512" s="435"/>
      <c r="I512" s="422"/>
      <c r="J512" s="423"/>
      <c r="K512" s="227"/>
      <c r="L512" s="420"/>
      <c r="M512" s="435"/>
      <c r="N512" s="422"/>
      <c r="O512" s="423"/>
      <c r="P512" s="227"/>
      <c r="Q512" s="425"/>
      <c r="R512" s="435"/>
      <c r="S512" s="422"/>
      <c r="T512" s="423"/>
      <c r="U512" s="418"/>
    </row>
    <row r="513" spans="1:21" ht="16.5" hidden="1" customHeight="1">
      <c r="A513" s="419" t="s">
        <v>429</v>
      </c>
      <c r="B513" s="21" t="s">
        <v>229</v>
      </c>
      <c r="C513" s="421" t="s">
        <v>344</v>
      </c>
      <c r="D513" s="229"/>
      <c r="E513" s="230"/>
      <c r="F513" s="175"/>
      <c r="G513" s="176"/>
      <c r="H513" s="435"/>
      <c r="I513" s="422"/>
      <c r="J513" s="423"/>
      <c r="K513" s="227"/>
      <c r="L513" s="420"/>
      <c r="M513" s="435"/>
      <c r="N513" s="422"/>
      <c r="O513" s="423"/>
      <c r="P513" s="227"/>
      <c r="Q513" s="425"/>
      <c r="R513" s="435"/>
      <c r="S513" s="422"/>
      <c r="T513" s="423"/>
      <c r="U513" s="418"/>
    </row>
    <row r="514" spans="1:21" ht="27" hidden="1" customHeight="1">
      <c r="A514" s="419" t="s">
        <v>430</v>
      </c>
      <c r="B514" s="21" t="s">
        <v>238</v>
      </c>
      <c r="C514" s="421" t="s">
        <v>344</v>
      </c>
      <c r="D514" s="229"/>
      <c r="E514" s="230"/>
      <c r="F514" s="175"/>
      <c r="G514" s="176"/>
      <c r="H514" s="435"/>
      <c r="I514" s="422"/>
      <c r="J514" s="423"/>
      <c r="K514" s="227"/>
      <c r="L514" s="420"/>
      <c r="M514" s="435"/>
      <c r="N514" s="422"/>
      <c r="O514" s="423"/>
      <c r="P514" s="227"/>
      <c r="Q514" s="425"/>
      <c r="R514" s="435"/>
      <c r="S514" s="422"/>
      <c r="T514" s="423"/>
      <c r="U514" s="418"/>
    </row>
    <row r="515" spans="1:21" ht="27.75" hidden="1" customHeight="1">
      <c r="A515" s="419" t="s">
        <v>431</v>
      </c>
      <c r="B515" s="21" t="s">
        <v>336</v>
      </c>
      <c r="C515" s="421" t="s">
        <v>344</v>
      </c>
      <c r="D515" s="229"/>
      <c r="E515" s="230"/>
      <c r="F515" s="175"/>
      <c r="G515" s="176"/>
      <c r="H515" s="435"/>
      <c r="I515" s="422"/>
      <c r="J515" s="423"/>
      <c r="K515" s="227"/>
      <c r="L515" s="420"/>
      <c r="M515" s="435"/>
      <c r="N515" s="422"/>
      <c r="O515" s="423"/>
      <c r="P515" s="227"/>
      <c r="Q515" s="425"/>
      <c r="R515" s="435"/>
      <c r="S515" s="422"/>
      <c r="T515" s="423"/>
      <c r="U515" s="418"/>
    </row>
    <row r="516" spans="1:21" ht="29.25" hidden="1" customHeight="1">
      <c r="A516" s="419" t="s">
        <v>432</v>
      </c>
      <c r="B516" s="21" t="s">
        <v>311</v>
      </c>
      <c r="C516" s="421" t="s">
        <v>344</v>
      </c>
      <c r="D516" s="229"/>
      <c r="E516" s="230"/>
      <c r="F516" s="175"/>
      <c r="G516" s="176"/>
      <c r="H516" s="435"/>
      <c r="I516" s="422"/>
      <c r="J516" s="423"/>
      <c r="K516" s="227"/>
      <c r="L516" s="420"/>
      <c r="M516" s="435"/>
      <c r="N516" s="422"/>
      <c r="O516" s="423"/>
      <c r="P516" s="227"/>
      <c r="Q516" s="425"/>
      <c r="R516" s="435"/>
      <c r="S516" s="422"/>
      <c r="T516" s="423"/>
      <c r="U516" s="418"/>
    </row>
    <row r="517" spans="1:21" ht="33.75" hidden="1" customHeight="1">
      <c r="A517" s="419" t="s">
        <v>433</v>
      </c>
      <c r="B517" s="21" t="s">
        <v>314</v>
      </c>
      <c r="C517" s="421" t="s">
        <v>344</v>
      </c>
      <c r="D517" s="229"/>
      <c r="E517" s="230"/>
      <c r="F517" s="175"/>
      <c r="G517" s="176"/>
      <c r="H517" s="435"/>
      <c r="I517" s="422"/>
      <c r="J517" s="423"/>
      <c r="K517" s="227"/>
      <c r="L517" s="420"/>
      <c r="M517" s="435"/>
      <c r="N517" s="422"/>
      <c r="O517" s="423"/>
      <c r="P517" s="227"/>
      <c r="Q517" s="425"/>
      <c r="R517" s="435"/>
      <c r="S517" s="422"/>
      <c r="T517" s="423"/>
      <c r="U517" s="418"/>
    </row>
    <row r="518" spans="1:21" ht="16.5" hidden="1" customHeight="1">
      <c r="A518" s="419" t="s">
        <v>434</v>
      </c>
      <c r="B518" s="21" t="s">
        <v>205</v>
      </c>
      <c r="C518" s="421" t="s">
        <v>344</v>
      </c>
      <c r="D518" s="229"/>
      <c r="E518" s="230"/>
      <c r="F518" s="175"/>
      <c r="G518" s="176"/>
      <c r="H518" s="435"/>
      <c r="I518" s="422"/>
      <c r="J518" s="423"/>
      <c r="K518" s="227"/>
      <c r="L518" s="420"/>
      <c r="M518" s="435"/>
      <c r="N518" s="422"/>
      <c r="O518" s="423"/>
      <c r="P518" s="227"/>
      <c r="Q518" s="425"/>
      <c r="R518" s="435"/>
      <c r="S518" s="422"/>
      <c r="T518" s="423"/>
      <c r="U518" s="418"/>
    </row>
    <row r="519" spans="1:21" ht="15.75" hidden="1" customHeight="1" thickBot="1">
      <c r="A519" s="140" t="s">
        <v>435</v>
      </c>
      <c r="B519" s="456" t="s">
        <v>426</v>
      </c>
      <c r="C519" s="98" t="s">
        <v>344</v>
      </c>
      <c r="D519" s="457"/>
      <c r="E519" s="458"/>
      <c r="F519" s="243"/>
      <c r="G519" s="460"/>
      <c r="H519" s="302"/>
      <c r="I519" s="303"/>
      <c r="J519" s="240"/>
      <c r="K519" s="319"/>
      <c r="L519" s="380"/>
      <c r="M519" s="302"/>
      <c r="N519" s="303"/>
      <c r="O519" s="240"/>
      <c r="P519" s="319"/>
      <c r="Q519" s="99"/>
      <c r="R519" s="302"/>
      <c r="S519" s="303"/>
      <c r="T519" s="240"/>
      <c r="U519" s="251"/>
    </row>
    <row r="520" spans="1:21" ht="24" customHeight="1" thickBot="1">
      <c r="A520" s="16"/>
      <c r="B520" s="1211" t="s">
        <v>189</v>
      </c>
      <c r="C520" s="1211"/>
      <c r="D520" s="320">
        <f t="shared" ref="D520:U520" si="65">SUM(D23+D117+D188+D246+D279+D334+D343+D354+D367+D466+D494)</f>
        <v>20767940</v>
      </c>
      <c r="E520" s="320">
        <f t="shared" si="65"/>
        <v>18577741</v>
      </c>
      <c r="F520" s="320">
        <f t="shared" si="65"/>
        <v>9485360</v>
      </c>
      <c r="G520" s="320">
        <f t="shared" si="65"/>
        <v>2190199</v>
      </c>
      <c r="H520" s="320">
        <f t="shared" si="65"/>
        <v>8787200</v>
      </c>
      <c r="I520" s="320">
        <f t="shared" si="65"/>
        <v>8787200</v>
      </c>
      <c r="J520" s="320">
        <f t="shared" si="65"/>
        <v>8109521</v>
      </c>
      <c r="K520" s="320">
        <f t="shared" si="65"/>
        <v>0</v>
      </c>
      <c r="L520" s="320">
        <f t="shared" si="65"/>
        <v>0</v>
      </c>
      <c r="M520" s="320">
        <f t="shared" si="65"/>
        <v>5084298</v>
      </c>
      <c r="N520" s="320">
        <f t="shared" si="65"/>
        <v>5084298</v>
      </c>
      <c r="O520" s="320">
        <f t="shared" si="65"/>
        <v>2811585</v>
      </c>
      <c r="P520" s="320">
        <f t="shared" si="65"/>
        <v>0</v>
      </c>
      <c r="Q520" s="320">
        <f t="shared" si="65"/>
        <v>0</v>
      </c>
      <c r="R520" s="320">
        <f t="shared" si="65"/>
        <v>1499627</v>
      </c>
      <c r="S520" s="320">
        <f t="shared" si="65"/>
        <v>1499627</v>
      </c>
      <c r="T520" s="320">
        <f t="shared" si="65"/>
        <v>829100</v>
      </c>
      <c r="U520" s="1278">
        <f t="shared" si="65"/>
        <v>0</v>
      </c>
    </row>
    <row r="521" spans="1:21" ht="33" customHeight="1">
      <c r="B521" s="1210" t="s">
        <v>213</v>
      </c>
      <c r="C521" s="1210"/>
    </row>
    <row r="522" spans="1:21" ht="15.75" hidden="1">
      <c r="B522" s="123"/>
      <c r="C522" s="4"/>
      <c r="D522" s="612">
        <f>20648840+119100</f>
        <v>20767940</v>
      </c>
      <c r="E522" s="7"/>
      <c r="F522" s="1209"/>
      <c r="G522" s="1209"/>
      <c r="L522" s="4"/>
      <c r="Q522" s="4"/>
    </row>
    <row r="523" spans="1:21" ht="15.75" hidden="1">
      <c r="B523" s="4"/>
      <c r="C523" s="4"/>
      <c r="D523" s="131"/>
      <c r="L523" s="4"/>
      <c r="Q523" s="4"/>
    </row>
    <row r="524" spans="1:21" ht="15.75" hidden="1">
      <c r="B524" s="4"/>
      <c r="C524" s="4"/>
      <c r="D524" s="132">
        <f>D522-D520</f>
        <v>0</v>
      </c>
      <c r="L524" s="4"/>
      <c r="Q524" s="4"/>
    </row>
    <row r="525" spans="1:21">
      <c r="C525" s="7"/>
      <c r="D525" s="48"/>
      <c r="E525" s="7"/>
      <c r="G525" s="6"/>
      <c r="I525" s="7"/>
      <c r="K525" s="6"/>
      <c r="N525" s="7"/>
      <c r="P525" s="6"/>
      <c r="S525" s="7"/>
      <c r="U525" s="6"/>
    </row>
    <row r="526" spans="1:21">
      <c r="B526" s="95" t="s">
        <v>306</v>
      </c>
      <c r="C526" s="95"/>
      <c r="D526" s="95"/>
      <c r="E526" s="95"/>
      <c r="F526" s="95"/>
      <c r="G526" s="96"/>
      <c r="H526" s="95"/>
      <c r="I526" s="95"/>
      <c r="J526" s="95"/>
      <c r="K526" s="96"/>
      <c r="L526" s="95"/>
      <c r="M526" s="95"/>
      <c r="N526" s="95"/>
      <c r="O526" s="95"/>
      <c r="P526" s="96"/>
      <c r="Q526" s="95"/>
      <c r="R526" s="95"/>
      <c r="S526" s="95"/>
      <c r="T526" s="95"/>
      <c r="U526" s="96"/>
    </row>
    <row r="527" spans="1:21">
      <c r="B527" s="95" t="s">
        <v>589</v>
      </c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1:21" ht="24.75" customHeight="1">
      <c r="B528" s="1219" t="s">
        <v>479</v>
      </c>
      <c r="C528" s="1219"/>
      <c r="D528" s="1219"/>
      <c r="E528" s="1219"/>
      <c r="F528" s="1219"/>
      <c r="G528" s="1219"/>
      <c r="H528" s="1219"/>
      <c r="I528" s="1219"/>
      <c r="J528" s="1219"/>
      <c r="K528" s="1219"/>
      <c r="L528" s="1219"/>
      <c r="M528" s="1219"/>
      <c r="N528" s="1219"/>
      <c r="O528" s="1219"/>
      <c r="P528" s="1219"/>
      <c r="Q528" s="1219"/>
      <c r="R528" s="1219"/>
      <c r="S528" s="1219"/>
      <c r="T528" s="1219"/>
      <c r="U528" s="1219"/>
    </row>
    <row r="529" spans="2:21">
      <c r="B529" s="95" t="s">
        <v>307</v>
      </c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5" t="s">
        <v>383</v>
      </c>
    </row>
    <row r="531" spans="2:21">
      <c r="B531" s="95" t="s">
        <v>387</v>
      </c>
    </row>
    <row r="541" spans="2:21">
      <c r="F541" s="1218"/>
      <c r="G541" s="1218"/>
    </row>
    <row r="543" spans="2:21">
      <c r="C543" s="7"/>
    </row>
  </sheetData>
  <mergeCells count="276">
    <mergeCell ref="F541:G541"/>
    <mergeCell ref="H285:H286"/>
    <mergeCell ref="B528:U528"/>
    <mergeCell ref="B283:B284"/>
    <mergeCell ref="C249:C250"/>
    <mergeCell ref="F283:F284"/>
    <mergeCell ref="D249:D250"/>
    <mergeCell ref="P285:P286"/>
    <mergeCell ref="N285:N286"/>
    <mergeCell ref="N249:N250"/>
    <mergeCell ref="F249:F250"/>
    <mergeCell ref="G249:G250"/>
    <mergeCell ref="I249:I250"/>
    <mergeCell ref="G285:G286"/>
    <mergeCell ref="G283:G284"/>
    <mergeCell ref="D283:D284"/>
    <mergeCell ref="L283:L284"/>
    <mergeCell ref="N283:N284"/>
    <mergeCell ref="O283:O284"/>
    <mergeCell ref="M249:M250"/>
    <mergeCell ref="H283:H284"/>
    <mergeCell ref="J283:J284"/>
    <mergeCell ref="K283:K284"/>
    <mergeCell ref="K249:K250"/>
    <mergeCell ref="F522:G522"/>
    <mergeCell ref="B521:C521"/>
    <mergeCell ref="B520:C520"/>
    <mergeCell ref="B249:B250"/>
    <mergeCell ref="O285:O286"/>
    <mergeCell ref="O249:O250"/>
    <mergeCell ref="M285:M286"/>
    <mergeCell ref="J483:J484"/>
    <mergeCell ref="J481:J482"/>
    <mergeCell ref="K481:K482"/>
    <mergeCell ref="H481:H482"/>
    <mergeCell ref="F481:F482"/>
    <mergeCell ref="E283:E284"/>
    <mergeCell ref="C283:C284"/>
    <mergeCell ref="F479:F480"/>
    <mergeCell ref="G477:G478"/>
    <mergeCell ref="F477:F478"/>
    <mergeCell ref="I481:I482"/>
    <mergeCell ref="G481:G482"/>
    <mergeCell ref="H249:H250"/>
    <mergeCell ref="C485:C486"/>
    <mergeCell ref="G479:G480"/>
    <mergeCell ref="K483:K484"/>
    <mergeCell ref="L285:L286"/>
    <mergeCell ref="A19:A21"/>
    <mergeCell ref="A134:A136"/>
    <mergeCell ref="A138:A139"/>
    <mergeCell ref="L140:L142"/>
    <mergeCell ref="M140:M142"/>
    <mergeCell ref="I138:I139"/>
    <mergeCell ref="H134:H136"/>
    <mergeCell ref="J134:J136"/>
    <mergeCell ref="B162:B163"/>
    <mergeCell ref="D162:D163"/>
    <mergeCell ref="A162:A163"/>
    <mergeCell ref="B19:B21"/>
    <mergeCell ref="C138:C139"/>
    <mergeCell ref="B134:B136"/>
    <mergeCell ref="B160:B161"/>
    <mergeCell ref="D160:D161"/>
    <mergeCell ref="D19:D21"/>
    <mergeCell ref="E19:G19"/>
    <mergeCell ref="D134:D136"/>
    <mergeCell ref="E134:E136"/>
    <mergeCell ref="J145:J147"/>
    <mergeCell ref="A145:A147"/>
    <mergeCell ref="D145:D147"/>
    <mergeCell ref="D158:D159"/>
    <mergeCell ref="H158:H159"/>
    <mergeCell ref="I158:I159"/>
    <mergeCell ref="A148:A149"/>
    <mergeCell ref="B148:B149"/>
    <mergeCell ref="B151:B153"/>
    <mergeCell ref="D148:D149"/>
    <mergeCell ref="A155:A157"/>
    <mergeCell ref="B155:B157"/>
    <mergeCell ref="A158:A159"/>
    <mergeCell ref="C148:C149"/>
    <mergeCell ref="H155:H157"/>
    <mergeCell ref="H151:H153"/>
    <mergeCell ref="G158:G159"/>
    <mergeCell ref="G151:G153"/>
    <mergeCell ref="H145:H147"/>
    <mergeCell ref="H148:H149"/>
    <mergeCell ref="O7:T7"/>
    <mergeCell ref="H19:H21"/>
    <mergeCell ref="I19:K19"/>
    <mergeCell ref="I20:J20"/>
    <mergeCell ref="K20:K21"/>
    <mergeCell ref="S19:U19"/>
    <mergeCell ref="S20:T20"/>
    <mergeCell ref="U20:U21"/>
    <mergeCell ref="R19:R21"/>
    <mergeCell ref="L19:L21"/>
    <mergeCell ref="Q19:Q21"/>
    <mergeCell ref="M19:M21"/>
    <mergeCell ref="N19:P19"/>
    <mergeCell ref="N20:O20"/>
    <mergeCell ref="P20:P21"/>
    <mergeCell ref="O10:T11"/>
    <mergeCell ref="R18:U18"/>
    <mergeCell ref="K138:K139"/>
    <mergeCell ref="K134:K136"/>
    <mergeCell ref="K145:K147"/>
    <mergeCell ref="I134:I136"/>
    <mergeCell ref="J138:J139"/>
    <mergeCell ref="B140:B142"/>
    <mergeCell ref="C140:C142"/>
    <mergeCell ref="D140:D142"/>
    <mergeCell ref="E140:E142"/>
    <mergeCell ref="C145:C147"/>
    <mergeCell ref="B145:B147"/>
    <mergeCell ref="B164:B165"/>
    <mergeCell ref="D166:D167"/>
    <mergeCell ref="E155:E157"/>
    <mergeCell ref="C166:C167"/>
    <mergeCell ref="D164:D165"/>
    <mergeCell ref="E158:E159"/>
    <mergeCell ref="D155:D157"/>
    <mergeCell ref="E148:E149"/>
    <mergeCell ref="C151:C153"/>
    <mergeCell ref="B158:B159"/>
    <mergeCell ref="E166:E167"/>
    <mergeCell ref="C19:C21"/>
    <mergeCell ref="G20:G21"/>
    <mergeCell ref="E20:F20"/>
    <mergeCell ref="F151:F153"/>
    <mergeCell ref="F160:F161"/>
    <mergeCell ref="F158:F159"/>
    <mergeCell ref="C158:C159"/>
    <mergeCell ref="E151:E153"/>
    <mergeCell ref="E162:E163"/>
    <mergeCell ref="D151:D153"/>
    <mergeCell ref="E160:E161"/>
    <mergeCell ref="C162:C163"/>
    <mergeCell ref="C155:C157"/>
    <mergeCell ref="D138:D139"/>
    <mergeCell ref="E145:E147"/>
    <mergeCell ref="E138:E139"/>
    <mergeCell ref="G138:G139"/>
    <mergeCell ref="F140:F142"/>
    <mergeCell ref="G140:G142"/>
    <mergeCell ref="G155:G157"/>
    <mergeCell ref="F164:F165"/>
    <mergeCell ref="F285:F286"/>
    <mergeCell ref="F134:F136"/>
    <mergeCell ref="G134:G136"/>
    <mergeCell ref="F168:F169"/>
    <mergeCell ref="G166:G167"/>
    <mergeCell ref="G164:G165"/>
    <mergeCell ref="F166:F167"/>
    <mergeCell ref="F145:F147"/>
    <mergeCell ref="G145:G147"/>
    <mergeCell ref="F155:F157"/>
    <mergeCell ref="G168:G169"/>
    <mergeCell ref="G160:G161"/>
    <mergeCell ref="H162:H163"/>
    <mergeCell ref="H166:H167"/>
    <mergeCell ref="I164:I165"/>
    <mergeCell ref="I166:I167"/>
    <mergeCell ref="H164:H165"/>
    <mergeCell ref="H168:H169"/>
    <mergeCell ref="I168:I169"/>
    <mergeCell ref="I162:I163"/>
    <mergeCell ref="H160:H161"/>
    <mergeCell ref="I283:I284"/>
    <mergeCell ref="K285:K286"/>
    <mergeCell ref="J249:J250"/>
    <mergeCell ref="I285:I286"/>
    <mergeCell ref="J285:J286"/>
    <mergeCell ref="A285:A286"/>
    <mergeCell ref="A283:A284"/>
    <mergeCell ref="B285:B286"/>
    <mergeCell ref="C285:C286"/>
    <mergeCell ref="E249:E250"/>
    <mergeCell ref="D285:D286"/>
    <mergeCell ref="E285:E286"/>
    <mergeCell ref="U160:U161"/>
    <mergeCell ref="S160:S161"/>
    <mergeCell ref="Q160:Q161"/>
    <mergeCell ref="R160:R161"/>
    <mergeCell ref="M283:M284"/>
    <mergeCell ref="L249:L250"/>
    <mergeCell ref="J160:J161"/>
    <mergeCell ref="K160:K161"/>
    <mergeCell ref="P249:P250"/>
    <mergeCell ref="P283:P284"/>
    <mergeCell ref="K162:K163"/>
    <mergeCell ref="J168:J169"/>
    <mergeCell ref="K168:K169"/>
    <mergeCell ref="J162:J163"/>
    <mergeCell ref="J164:J165"/>
    <mergeCell ref="K164:K165"/>
    <mergeCell ref="J166:J167"/>
    <mergeCell ref="K166:K167"/>
    <mergeCell ref="K155:K157"/>
    <mergeCell ref="I148:I149"/>
    <mergeCell ref="J151:J153"/>
    <mergeCell ref="I151:I153"/>
    <mergeCell ref="K151:K153"/>
    <mergeCell ref="T160:T161"/>
    <mergeCell ref="P140:P142"/>
    <mergeCell ref="P158:P159"/>
    <mergeCell ref="O140:O142"/>
    <mergeCell ref="I140:I142"/>
    <mergeCell ref="J140:J142"/>
    <mergeCell ref="I145:I147"/>
    <mergeCell ref="O158:O159"/>
    <mergeCell ref="N158:N159"/>
    <mergeCell ref="L158:L159"/>
    <mergeCell ref="M158:M159"/>
    <mergeCell ref="N140:N142"/>
    <mergeCell ref="J148:J149"/>
    <mergeCell ref="J158:J159"/>
    <mergeCell ref="K158:K159"/>
    <mergeCell ref="K140:K142"/>
    <mergeCell ref="I160:I161"/>
    <mergeCell ref="K148:K149"/>
    <mergeCell ref="A140:A142"/>
    <mergeCell ref="B138:B139"/>
    <mergeCell ref="C134:C136"/>
    <mergeCell ref="J155:J157"/>
    <mergeCell ref="A481:A482"/>
    <mergeCell ref="B481:B482"/>
    <mergeCell ref="A479:A480"/>
    <mergeCell ref="B479:B480"/>
    <mergeCell ref="C479:C480"/>
    <mergeCell ref="D479:D480"/>
    <mergeCell ref="E479:E480"/>
    <mergeCell ref="E481:E482"/>
    <mergeCell ref="D481:D482"/>
    <mergeCell ref="F138:F139"/>
    <mergeCell ref="I155:I157"/>
    <mergeCell ref="G162:G163"/>
    <mergeCell ref="F162:F163"/>
    <mergeCell ref="H138:H139"/>
    <mergeCell ref="F148:F149"/>
    <mergeCell ref="G148:G149"/>
    <mergeCell ref="H140:H142"/>
    <mergeCell ref="A151:A153"/>
    <mergeCell ref="A477:A478"/>
    <mergeCell ref="B477:B478"/>
    <mergeCell ref="H483:H484"/>
    <mergeCell ref="I483:I484"/>
    <mergeCell ref="F483:F484"/>
    <mergeCell ref="G483:G484"/>
    <mergeCell ref="A483:A484"/>
    <mergeCell ref="B483:B484"/>
    <mergeCell ref="C483:C484"/>
    <mergeCell ref="D483:D484"/>
    <mergeCell ref="E483:E484"/>
    <mergeCell ref="A487:A488"/>
    <mergeCell ref="B487:B488"/>
    <mergeCell ref="C487:C488"/>
    <mergeCell ref="C481:C482"/>
    <mergeCell ref="A485:A486"/>
    <mergeCell ref="B485:B486"/>
    <mergeCell ref="C477:C478"/>
    <mergeCell ref="D477:D478"/>
    <mergeCell ref="E477:E478"/>
    <mergeCell ref="A160:A161"/>
    <mergeCell ref="A249:A250"/>
    <mergeCell ref="A164:A165"/>
    <mergeCell ref="A168:A169"/>
    <mergeCell ref="B168:B169"/>
    <mergeCell ref="B166:B167"/>
    <mergeCell ref="C168:C169"/>
    <mergeCell ref="A166:A167"/>
    <mergeCell ref="E168:E169"/>
    <mergeCell ref="D168:D169"/>
    <mergeCell ref="C164:C165"/>
    <mergeCell ref="E164:E165"/>
  </mergeCells>
  <phoneticPr fontId="7" type="noConversion"/>
  <pageMargins left="0" right="0" top="0.39370078740157483" bottom="0.39370078740157483" header="0" footer="0"/>
  <pageSetup paperSize="9" scale="80" fitToHeight="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Priedas 3</vt:lpstr>
      <vt:lpstr>Lapas1</vt:lpstr>
      <vt:lpstr>'Priedas 3'!Spausdinti_pavadinimus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IlonaR</dc:creator>
  <cp:lastModifiedBy>DaliaA</cp:lastModifiedBy>
  <cp:lastPrinted>2021-01-26T13:18:04Z</cp:lastPrinted>
  <dcterms:created xsi:type="dcterms:W3CDTF">2008-12-12T07:54:00Z</dcterms:created>
  <dcterms:modified xsi:type="dcterms:W3CDTF">2021-02-15T07:27:08Z</dcterms:modified>
</cp:coreProperties>
</file>