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lija\Desktop\SVP_2017m_ataskaita\"/>
    </mc:Choice>
  </mc:AlternateContent>
  <bookViews>
    <workbookView xWindow="0" yWindow="0" windowWidth="28800" windowHeight="11175"/>
  </bookViews>
  <sheets>
    <sheet name="1_programa" sheetId="11" r:id="rId1"/>
    <sheet name="2_programa" sheetId="6" r:id="rId2"/>
    <sheet name="3_programa" sheetId="7" r:id="rId3"/>
    <sheet name="4_programa" sheetId="8" r:id="rId4"/>
    <sheet name="5_programa" sheetId="9" r:id="rId5"/>
    <sheet name="6_programa" sheetId="10" r:id="rId6"/>
  </sheets>
  <definedNames>
    <definedName name="_xlnm.Print_Area" localSheetId="3">'4_programa'!$A$1:$U$537</definedName>
    <definedName name="_xlnm.Print_Area" localSheetId="4">'5_programa'!$A$1:$W$202</definedName>
  </definedNames>
  <calcPr calcId="152511"/>
</workbook>
</file>

<file path=xl/calcChain.xml><?xml version="1.0" encoding="utf-8"?>
<calcChain xmlns="http://schemas.openxmlformats.org/spreadsheetml/2006/main">
  <c r="N218" i="11" l="1"/>
  <c r="L218" i="11"/>
  <c r="J218" i="11"/>
  <c r="H218" i="11"/>
  <c r="T212" i="11"/>
  <c r="S212" i="11"/>
  <c r="Q212" i="11"/>
  <c r="P212" i="11"/>
  <c r="O212" i="11"/>
  <c r="N212" i="11"/>
  <c r="M212" i="11"/>
  <c r="L212" i="11"/>
  <c r="K212" i="11"/>
  <c r="J212" i="11"/>
  <c r="I212" i="11"/>
  <c r="H212" i="11"/>
  <c r="T210" i="11"/>
  <c r="S210" i="11"/>
  <c r="Q210" i="11"/>
  <c r="Q213" i="11" s="1"/>
  <c r="P210" i="11"/>
  <c r="P213" i="11" s="1"/>
  <c r="O210" i="11"/>
  <c r="O213" i="11" s="1"/>
  <c r="N210" i="11"/>
  <c r="N213" i="11" s="1"/>
  <c r="M210" i="11"/>
  <c r="M213" i="11" s="1"/>
  <c r="L210" i="11"/>
  <c r="L213" i="11" s="1"/>
  <c r="K210" i="11"/>
  <c r="K213" i="11" s="1"/>
  <c r="J210" i="11"/>
  <c r="J213" i="11" s="1"/>
  <c r="I210" i="11"/>
  <c r="I213" i="11" s="1"/>
  <c r="H210" i="11"/>
  <c r="H213" i="11" s="1"/>
  <c r="T207" i="11"/>
  <c r="S207" i="11"/>
  <c r="Q207" i="11"/>
  <c r="P207" i="11"/>
  <c r="O207" i="11"/>
  <c r="N207" i="11"/>
  <c r="M207" i="11"/>
  <c r="L207" i="11"/>
  <c r="K207" i="11"/>
  <c r="J207" i="11"/>
  <c r="I207" i="11"/>
  <c r="H207" i="11"/>
  <c r="AI206" i="11"/>
  <c r="AH206" i="11"/>
  <c r="AG206" i="11"/>
  <c r="AF206" i="11"/>
  <c r="T203" i="11"/>
  <c r="S203" i="11"/>
  <c r="Q203" i="11"/>
  <c r="P203" i="11"/>
  <c r="P204" i="11" s="1"/>
  <c r="O203" i="11"/>
  <c r="N203" i="11"/>
  <c r="M203" i="11"/>
  <c r="L203" i="11"/>
  <c r="K203" i="11"/>
  <c r="J203" i="11"/>
  <c r="I203" i="11"/>
  <c r="H203" i="11"/>
  <c r="T201" i="11"/>
  <c r="S201" i="11"/>
  <c r="Q201" i="11"/>
  <c r="P201" i="11"/>
  <c r="O201" i="11"/>
  <c r="N201" i="11"/>
  <c r="M201" i="11"/>
  <c r="L201" i="11"/>
  <c r="K201" i="11"/>
  <c r="J201" i="11"/>
  <c r="I201" i="11"/>
  <c r="H201" i="11"/>
  <c r="T199" i="11"/>
  <c r="S199" i="11"/>
  <c r="Q199" i="11"/>
  <c r="P199" i="11"/>
  <c r="O199" i="11"/>
  <c r="N199" i="11"/>
  <c r="M199" i="11"/>
  <c r="L199" i="11"/>
  <c r="K199" i="11"/>
  <c r="J199" i="11"/>
  <c r="I199" i="11"/>
  <c r="H199" i="11"/>
  <c r="T197" i="11"/>
  <c r="S197" i="11"/>
  <c r="Q197" i="11"/>
  <c r="P197" i="11"/>
  <c r="O197" i="11"/>
  <c r="N197" i="11"/>
  <c r="M197" i="11"/>
  <c r="L197" i="11"/>
  <c r="K197" i="11"/>
  <c r="J197" i="11"/>
  <c r="I197" i="11"/>
  <c r="H197" i="11"/>
  <c r="T195" i="11"/>
  <c r="S195" i="11"/>
  <c r="Q195" i="11"/>
  <c r="P195" i="11"/>
  <c r="O195" i="11"/>
  <c r="N195" i="11"/>
  <c r="M195" i="11"/>
  <c r="L195" i="11"/>
  <c r="K195" i="11"/>
  <c r="J195" i="11"/>
  <c r="I195" i="11"/>
  <c r="H195" i="11"/>
  <c r="S193" i="11"/>
  <c r="Q193" i="11"/>
  <c r="P193" i="11"/>
  <c r="O193" i="11"/>
  <c r="N193" i="11"/>
  <c r="M193" i="11"/>
  <c r="L193" i="11"/>
  <c r="K193" i="11"/>
  <c r="J193" i="11"/>
  <c r="I193" i="11"/>
  <c r="H193" i="11"/>
  <c r="T192" i="11"/>
  <c r="T193" i="11" s="1"/>
  <c r="T191" i="11"/>
  <c r="S191" i="11"/>
  <c r="Q191" i="11"/>
  <c r="P191" i="11"/>
  <c r="O191" i="11"/>
  <c r="N191" i="11"/>
  <c r="M191" i="11"/>
  <c r="L191" i="11"/>
  <c r="K191" i="11"/>
  <c r="J191" i="11"/>
  <c r="I191" i="11"/>
  <c r="H191" i="11"/>
  <c r="T189" i="11"/>
  <c r="S189" i="11"/>
  <c r="Q189" i="11"/>
  <c r="P189" i="11"/>
  <c r="O189" i="11"/>
  <c r="N189" i="11"/>
  <c r="M189" i="11"/>
  <c r="L189" i="11"/>
  <c r="K189" i="11"/>
  <c r="J189" i="11"/>
  <c r="I189" i="11"/>
  <c r="H189" i="11"/>
  <c r="T186" i="11"/>
  <c r="S186" i="11"/>
  <c r="Q186" i="11"/>
  <c r="P186" i="11"/>
  <c r="O186" i="11"/>
  <c r="N186" i="11"/>
  <c r="M186" i="11"/>
  <c r="L186" i="11"/>
  <c r="K186" i="11"/>
  <c r="J186" i="11"/>
  <c r="I186" i="11"/>
  <c r="H186" i="11"/>
  <c r="T182" i="11"/>
  <c r="S182" i="11"/>
  <c r="Q182" i="11"/>
  <c r="P182" i="11"/>
  <c r="O182" i="11"/>
  <c r="N182" i="11"/>
  <c r="M182" i="11"/>
  <c r="L182" i="11"/>
  <c r="K182" i="11"/>
  <c r="J182" i="11"/>
  <c r="I182" i="11"/>
  <c r="H182" i="11"/>
  <c r="T178" i="11"/>
  <c r="S178" i="11"/>
  <c r="Q178" i="11"/>
  <c r="P178" i="11"/>
  <c r="O178" i="11"/>
  <c r="N178" i="11"/>
  <c r="M178" i="11"/>
  <c r="L178" i="11"/>
  <c r="K178" i="11"/>
  <c r="J178" i="11"/>
  <c r="I178" i="11"/>
  <c r="H178" i="11"/>
  <c r="Q174" i="11"/>
  <c r="P174" i="11"/>
  <c r="O174" i="11"/>
  <c r="N174" i="11"/>
  <c r="M174" i="11"/>
  <c r="L174" i="11"/>
  <c r="K174" i="11"/>
  <c r="J174" i="11"/>
  <c r="I174" i="11"/>
  <c r="H174" i="11"/>
  <c r="T170" i="11"/>
  <c r="S170" i="11"/>
  <c r="Q170" i="11"/>
  <c r="P170" i="11"/>
  <c r="O170" i="11"/>
  <c r="N170" i="11"/>
  <c r="M170" i="11"/>
  <c r="L170" i="11"/>
  <c r="K170" i="11"/>
  <c r="J170" i="11"/>
  <c r="I170" i="11"/>
  <c r="H170" i="11"/>
  <c r="U166" i="11"/>
  <c r="T166" i="11"/>
  <c r="S166" i="11"/>
  <c r="Q166" i="11"/>
  <c r="AC150" i="11" s="1"/>
  <c r="P166" i="11"/>
  <c r="O166" i="11"/>
  <c r="N166" i="11"/>
  <c r="M166" i="11"/>
  <c r="L166" i="11"/>
  <c r="K166" i="11"/>
  <c r="J166" i="11"/>
  <c r="I166" i="11"/>
  <c r="X150" i="11" s="1"/>
  <c r="H166" i="11"/>
  <c r="T162" i="11"/>
  <c r="S162" i="11"/>
  <c r="Q162" i="11"/>
  <c r="P162" i="11"/>
  <c r="O162" i="11"/>
  <c r="N162" i="11"/>
  <c r="M162" i="11"/>
  <c r="L162" i="11"/>
  <c r="K162" i="11"/>
  <c r="J162" i="11"/>
  <c r="I162" i="11"/>
  <c r="H162" i="11"/>
  <c r="T158" i="11"/>
  <c r="S158" i="11"/>
  <c r="Q158" i="11"/>
  <c r="P158" i="11"/>
  <c r="O158" i="11"/>
  <c r="N158" i="11"/>
  <c r="M158" i="11"/>
  <c r="L158" i="11"/>
  <c r="K158" i="11"/>
  <c r="Z150" i="11" s="1"/>
  <c r="J158" i="11"/>
  <c r="I158" i="11"/>
  <c r="H158" i="11"/>
  <c r="T154" i="11"/>
  <c r="S154" i="11"/>
  <c r="Q154" i="11"/>
  <c r="P154" i="11"/>
  <c r="AB150" i="11" s="1"/>
  <c r="O154" i="11"/>
  <c r="N154" i="11"/>
  <c r="M154" i="11"/>
  <c r="L154" i="11"/>
  <c r="K154" i="11"/>
  <c r="J154" i="11"/>
  <c r="I154" i="11"/>
  <c r="H154" i="11"/>
  <c r="W150" i="11" s="1"/>
  <c r="AH150" i="11"/>
  <c r="AG150" i="11"/>
  <c r="AF150" i="11"/>
  <c r="Y150" i="11"/>
  <c r="T150" i="11"/>
  <c r="S150" i="11"/>
  <c r="AC149" i="11"/>
  <c r="AB149" i="11"/>
  <c r="Z149" i="11"/>
  <c r="Y149" i="11"/>
  <c r="X149" i="11"/>
  <c r="W149" i="11"/>
  <c r="Q149" i="11"/>
  <c r="P149" i="11"/>
  <c r="O149" i="11"/>
  <c r="N149" i="11"/>
  <c r="M149" i="11"/>
  <c r="L149" i="11"/>
  <c r="K149" i="11"/>
  <c r="J149" i="11"/>
  <c r="J150" i="11" s="1"/>
  <c r="I149" i="11"/>
  <c r="H149" i="11"/>
  <c r="AC148" i="11"/>
  <c r="AB148" i="11"/>
  <c r="Z148" i="11"/>
  <c r="Y148" i="11"/>
  <c r="X148" i="11"/>
  <c r="W148" i="11"/>
  <c r="Q148" i="11"/>
  <c r="P148" i="11"/>
  <c r="O148" i="11"/>
  <c r="N148" i="11"/>
  <c r="N150" i="11" s="1"/>
  <c r="K148" i="11"/>
  <c r="J148" i="11"/>
  <c r="I148" i="11"/>
  <c r="H148" i="11"/>
  <c r="AC147" i="11"/>
  <c r="AB147" i="11"/>
  <c r="Z147" i="11"/>
  <c r="Y147" i="11"/>
  <c r="X147" i="11"/>
  <c r="W147" i="11"/>
  <c r="Q147" i="11"/>
  <c r="Q150" i="11" s="1"/>
  <c r="P147" i="11"/>
  <c r="P150" i="11" s="1"/>
  <c r="O147" i="11"/>
  <c r="O150" i="11" s="1"/>
  <c r="N147" i="11"/>
  <c r="M147" i="11"/>
  <c r="M150" i="11" s="1"/>
  <c r="L147" i="11"/>
  <c r="AF151" i="11" s="1"/>
  <c r="K147" i="11"/>
  <c r="K150" i="11" s="1"/>
  <c r="J147" i="11"/>
  <c r="I147" i="11"/>
  <c r="I150" i="11" s="1"/>
  <c r="H147" i="11"/>
  <c r="H150" i="11" s="1"/>
  <c r="T146" i="11"/>
  <c r="S146" i="11"/>
  <c r="Q146" i="11"/>
  <c r="P146" i="11"/>
  <c r="O146" i="11"/>
  <c r="N146" i="11"/>
  <c r="M146" i="11"/>
  <c r="L146" i="11"/>
  <c r="K146" i="11"/>
  <c r="J146" i="11"/>
  <c r="I146" i="11"/>
  <c r="H146" i="11"/>
  <c r="T144" i="11"/>
  <c r="S144" i="11"/>
  <c r="Q144" i="11"/>
  <c r="P144" i="11"/>
  <c r="O144" i="11"/>
  <c r="N144" i="11"/>
  <c r="M144" i="11"/>
  <c r="L144" i="11"/>
  <c r="K144" i="11"/>
  <c r="J144" i="11"/>
  <c r="I144" i="11"/>
  <c r="H144" i="11"/>
  <c r="U142" i="11"/>
  <c r="Q142" i="11"/>
  <c r="P142" i="11"/>
  <c r="O142" i="11"/>
  <c r="N142" i="11"/>
  <c r="M142" i="11"/>
  <c r="L142" i="11"/>
  <c r="K142" i="11"/>
  <c r="J142" i="11"/>
  <c r="I142" i="11"/>
  <c r="H142" i="11"/>
  <c r="T141" i="11"/>
  <c r="T142" i="11" s="1"/>
  <c r="S141" i="11"/>
  <c r="S142" i="11" s="1"/>
  <c r="U140" i="11"/>
  <c r="Q140" i="11"/>
  <c r="P140" i="11"/>
  <c r="O140" i="11"/>
  <c r="N140" i="11"/>
  <c r="M140" i="11"/>
  <c r="L140" i="11"/>
  <c r="K140" i="11"/>
  <c r="J140" i="11"/>
  <c r="I140" i="11"/>
  <c r="H140" i="11"/>
  <c r="T139" i="11"/>
  <c r="T140" i="11" s="1"/>
  <c r="S139" i="11"/>
  <c r="S140" i="11" s="1"/>
  <c r="U138" i="11"/>
  <c r="Q138" i="11"/>
  <c r="P138" i="11"/>
  <c r="O138" i="11"/>
  <c r="N138" i="11"/>
  <c r="M138" i="11"/>
  <c r="L138" i="11"/>
  <c r="K138" i="11"/>
  <c r="J138" i="11"/>
  <c r="I138" i="11"/>
  <c r="H138" i="11"/>
  <c r="T137" i="11"/>
  <c r="T138" i="11" s="1"/>
  <c r="S137" i="11"/>
  <c r="S138" i="11" s="1"/>
  <c r="U136" i="11"/>
  <c r="Q136" i="11"/>
  <c r="P136" i="11"/>
  <c r="O136" i="11"/>
  <c r="N136" i="11"/>
  <c r="M136" i="11"/>
  <c r="L136" i="11"/>
  <c r="K136" i="11"/>
  <c r="J136" i="11"/>
  <c r="I136" i="11"/>
  <c r="H136" i="11"/>
  <c r="T135" i="11"/>
  <c r="T136" i="11" s="1"/>
  <c r="S135" i="11"/>
  <c r="S136" i="11" s="1"/>
  <c r="Q134" i="11"/>
  <c r="P134" i="11"/>
  <c r="O134" i="11"/>
  <c r="N134" i="11"/>
  <c r="M134" i="11"/>
  <c r="L134" i="11"/>
  <c r="K134" i="11"/>
  <c r="J134" i="11"/>
  <c r="I134" i="11"/>
  <c r="H134" i="11"/>
  <c r="T133" i="11"/>
  <c r="T134" i="11" s="1"/>
  <c r="S133" i="11"/>
  <c r="S134" i="11" s="1"/>
  <c r="Q132" i="11"/>
  <c r="P132" i="11"/>
  <c r="O132" i="11"/>
  <c r="N132" i="11"/>
  <c r="M132" i="11"/>
  <c r="L132" i="11"/>
  <c r="K132" i="11"/>
  <c r="J132" i="11"/>
  <c r="I132" i="11"/>
  <c r="H132" i="11"/>
  <c r="T131" i="11"/>
  <c r="T132" i="11" s="1"/>
  <c r="S131" i="11"/>
  <c r="S132" i="11" s="1"/>
  <c r="Q130" i="11"/>
  <c r="P130" i="11"/>
  <c r="O130" i="11"/>
  <c r="N130" i="11"/>
  <c r="M130" i="11"/>
  <c r="L130" i="11"/>
  <c r="K130" i="11"/>
  <c r="J130" i="11"/>
  <c r="I130" i="11"/>
  <c r="H130" i="11"/>
  <c r="T129" i="11"/>
  <c r="T130" i="11" s="1"/>
  <c r="S129" i="11"/>
  <c r="S130" i="11" s="1"/>
  <c r="Q128" i="11"/>
  <c r="P128" i="11"/>
  <c r="O128" i="11"/>
  <c r="N128" i="11"/>
  <c r="M128" i="11"/>
  <c r="L128" i="11"/>
  <c r="K128" i="11"/>
  <c r="J128" i="11"/>
  <c r="I128" i="11"/>
  <c r="H128" i="11"/>
  <c r="T127" i="11"/>
  <c r="T128" i="11" s="1"/>
  <c r="S127" i="11"/>
  <c r="S128" i="11" s="1"/>
  <c r="S126" i="11"/>
  <c r="Q126" i="11"/>
  <c r="P126" i="11"/>
  <c r="O126" i="11"/>
  <c r="N126" i="11"/>
  <c r="M126" i="11"/>
  <c r="L126" i="11"/>
  <c r="K126" i="11"/>
  <c r="J126" i="11"/>
  <c r="I126" i="11"/>
  <c r="H126" i="11"/>
  <c r="T125" i="11"/>
  <c r="T126" i="11" s="1"/>
  <c r="Q124" i="11"/>
  <c r="P124" i="11"/>
  <c r="O124" i="11"/>
  <c r="N124" i="11"/>
  <c r="M124" i="11"/>
  <c r="L124" i="11"/>
  <c r="K124" i="11"/>
  <c r="J124" i="11"/>
  <c r="I124" i="11"/>
  <c r="H124" i="11"/>
  <c r="T122" i="11"/>
  <c r="S122" i="11"/>
  <c r="Q122" i="11"/>
  <c r="P122" i="11"/>
  <c r="O122" i="11"/>
  <c r="N122" i="11"/>
  <c r="M122" i="11"/>
  <c r="L122" i="11"/>
  <c r="K122" i="11"/>
  <c r="J122" i="11"/>
  <c r="I122" i="11"/>
  <c r="H122" i="11"/>
  <c r="Q120" i="11"/>
  <c r="P120" i="11"/>
  <c r="O120" i="11"/>
  <c r="N120" i="11"/>
  <c r="M120" i="11"/>
  <c r="L120" i="11"/>
  <c r="K120" i="11"/>
  <c r="J120" i="11"/>
  <c r="I120" i="11"/>
  <c r="H120" i="11"/>
  <c r="T119" i="11"/>
  <c r="T120" i="11" s="1"/>
  <c r="S119" i="11"/>
  <c r="S120" i="11" s="1"/>
  <c r="Q118" i="11"/>
  <c r="P118" i="11"/>
  <c r="O118" i="11"/>
  <c r="N118" i="11"/>
  <c r="M118" i="11"/>
  <c r="L118" i="11"/>
  <c r="K118" i="11"/>
  <c r="J118" i="11"/>
  <c r="I118" i="11"/>
  <c r="H118" i="11"/>
  <c r="T117" i="11"/>
  <c r="T118" i="11" s="1"/>
  <c r="S117" i="11"/>
  <c r="S118" i="11" s="1"/>
  <c r="Q116" i="11"/>
  <c r="P116" i="11"/>
  <c r="O116" i="11"/>
  <c r="N116" i="11"/>
  <c r="M116" i="11"/>
  <c r="L116" i="11"/>
  <c r="K116" i="11"/>
  <c r="J116" i="11"/>
  <c r="I116" i="11"/>
  <c r="H116" i="11"/>
  <c r="T115" i="11"/>
  <c r="T116" i="11" s="1"/>
  <c r="S115" i="11"/>
  <c r="S116" i="11" s="1"/>
  <c r="T114" i="11"/>
  <c r="S114" i="11"/>
  <c r="Q114" i="11"/>
  <c r="P114" i="11"/>
  <c r="O114" i="11"/>
  <c r="N114" i="11"/>
  <c r="M114" i="11"/>
  <c r="L114" i="11"/>
  <c r="K114" i="11"/>
  <c r="J114" i="11"/>
  <c r="I114" i="11"/>
  <c r="H114" i="11"/>
  <c r="Q112" i="11"/>
  <c r="P112" i="11"/>
  <c r="O112" i="11"/>
  <c r="N112" i="11"/>
  <c r="M112" i="11"/>
  <c r="L112" i="11"/>
  <c r="K112" i="11"/>
  <c r="J112" i="11"/>
  <c r="I112" i="11"/>
  <c r="H112" i="11"/>
  <c r="T111" i="11"/>
  <c r="T112" i="11" s="1"/>
  <c r="S111" i="11"/>
  <c r="S112" i="11" s="1"/>
  <c r="Q110" i="11"/>
  <c r="P110" i="11"/>
  <c r="O110" i="11"/>
  <c r="N110" i="11"/>
  <c r="M110" i="11"/>
  <c r="L110" i="11"/>
  <c r="K110" i="11"/>
  <c r="J110" i="11"/>
  <c r="I110" i="11"/>
  <c r="H110" i="11"/>
  <c r="T109" i="11"/>
  <c r="T110" i="11" s="1"/>
  <c r="S109" i="11"/>
  <c r="S110" i="11" s="1"/>
  <c r="T108" i="11"/>
  <c r="S108" i="11"/>
  <c r="Q108" i="11"/>
  <c r="P108" i="11"/>
  <c r="O108" i="11"/>
  <c r="N108" i="11"/>
  <c r="M108" i="11"/>
  <c r="L108" i="11"/>
  <c r="K108" i="11"/>
  <c r="J108" i="11"/>
  <c r="I108" i="11"/>
  <c r="H108" i="11"/>
  <c r="Q106" i="11"/>
  <c r="P106" i="11"/>
  <c r="O106" i="11"/>
  <c r="N106" i="11"/>
  <c r="M106" i="11"/>
  <c r="L106" i="11"/>
  <c r="K106" i="11"/>
  <c r="J106" i="11"/>
  <c r="I106" i="11"/>
  <c r="H106" i="11"/>
  <c r="T105" i="11"/>
  <c r="T106" i="11" s="1"/>
  <c r="S105" i="11"/>
  <c r="S106" i="11" s="1"/>
  <c r="AF104" i="11"/>
  <c r="T104" i="11"/>
  <c r="S104" i="11"/>
  <c r="Q104" i="11"/>
  <c r="AC101" i="11" s="1"/>
  <c r="P104" i="11"/>
  <c r="AB101" i="11" s="1"/>
  <c r="O104" i="11"/>
  <c r="N104" i="11"/>
  <c r="M104" i="11"/>
  <c r="L104" i="11"/>
  <c r="K104" i="11"/>
  <c r="J104" i="11"/>
  <c r="I104" i="11"/>
  <c r="X101" i="11" s="1"/>
  <c r="H104" i="11"/>
  <c r="W101" i="11" s="1"/>
  <c r="T102" i="11"/>
  <c r="S102" i="11"/>
  <c r="Q102" i="11"/>
  <c r="P102" i="11"/>
  <c r="O102" i="11"/>
  <c r="L102" i="11"/>
  <c r="K102" i="11"/>
  <c r="Z101" i="11"/>
  <c r="Y101" i="11"/>
  <c r="N101" i="11"/>
  <c r="N102" i="11" s="1"/>
  <c r="M101" i="11"/>
  <c r="M102" i="11" s="1"/>
  <c r="L101" i="11"/>
  <c r="AF105" i="11" s="1"/>
  <c r="J101" i="11"/>
  <c r="J102" i="11" s="1"/>
  <c r="I101" i="11"/>
  <c r="I102" i="11" s="1"/>
  <c r="H101" i="11"/>
  <c r="H102" i="11" s="1"/>
  <c r="T100" i="11"/>
  <c r="S100" i="11"/>
  <c r="Q100" i="11"/>
  <c r="P100" i="11"/>
  <c r="O100" i="11"/>
  <c r="N100" i="11"/>
  <c r="M100" i="11"/>
  <c r="L100" i="11"/>
  <c r="K100" i="11"/>
  <c r="J100" i="11"/>
  <c r="I100" i="11"/>
  <c r="H100" i="11"/>
  <c r="T98" i="11"/>
  <c r="S98" i="11"/>
  <c r="Q98" i="11"/>
  <c r="P98" i="11"/>
  <c r="O98" i="11"/>
  <c r="N98" i="11"/>
  <c r="M98" i="11"/>
  <c r="L98" i="11"/>
  <c r="K98" i="11"/>
  <c r="J98" i="11"/>
  <c r="I98" i="11"/>
  <c r="H98" i="11"/>
  <c r="T96" i="11"/>
  <c r="S96" i="11"/>
  <c r="Q96" i="11"/>
  <c r="P96" i="11"/>
  <c r="O96" i="11"/>
  <c r="N96" i="11"/>
  <c r="M96" i="11"/>
  <c r="L96" i="11"/>
  <c r="K96" i="11"/>
  <c r="J96" i="11"/>
  <c r="I96" i="11"/>
  <c r="H96" i="11"/>
  <c r="T94" i="11"/>
  <c r="S94" i="11"/>
  <c r="Q94" i="11"/>
  <c r="P94" i="11"/>
  <c r="O94" i="11"/>
  <c r="N94" i="11"/>
  <c r="M94" i="11"/>
  <c r="L94" i="11"/>
  <c r="K94" i="11"/>
  <c r="J94" i="11"/>
  <c r="I94" i="11"/>
  <c r="H94" i="11"/>
  <c r="T92" i="11"/>
  <c r="S92" i="11"/>
  <c r="Q92" i="11"/>
  <c r="P92" i="11"/>
  <c r="O92" i="11"/>
  <c r="N92" i="11"/>
  <c r="M92" i="11"/>
  <c r="L92" i="11"/>
  <c r="K92" i="11"/>
  <c r="J92" i="11"/>
  <c r="I92" i="11"/>
  <c r="H92" i="11"/>
  <c r="T90" i="11"/>
  <c r="S90" i="11"/>
  <c r="Q90" i="11"/>
  <c r="P90" i="11"/>
  <c r="O90" i="11"/>
  <c r="N90" i="11"/>
  <c r="M90" i="11"/>
  <c r="L90" i="11"/>
  <c r="K90" i="11"/>
  <c r="J90" i="11"/>
  <c r="I90" i="11"/>
  <c r="H90" i="11"/>
  <c r="U86" i="11"/>
  <c r="T86" i="11"/>
  <c r="S86" i="11"/>
  <c r="Q86" i="11"/>
  <c r="P86" i="11"/>
  <c r="O86" i="11"/>
  <c r="N86" i="11"/>
  <c r="M86" i="11"/>
  <c r="L86" i="11"/>
  <c r="K86" i="11"/>
  <c r="J86" i="11"/>
  <c r="I86" i="11"/>
  <c r="H86" i="11"/>
  <c r="U84" i="11"/>
  <c r="T84" i="11"/>
  <c r="S84" i="11"/>
  <c r="Q84" i="11"/>
  <c r="P84" i="11"/>
  <c r="O84" i="11"/>
  <c r="N84" i="11"/>
  <c r="M84" i="11"/>
  <c r="L84" i="11"/>
  <c r="K84" i="11"/>
  <c r="J84" i="11"/>
  <c r="I84" i="11"/>
  <c r="H84" i="11"/>
  <c r="T82" i="11"/>
  <c r="S82" i="11"/>
  <c r="Q82" i="11"/>
  <c r="P82" i="11"/>
  <c r="O82" i="11"/>
  <c r="N82" i="11"/>
  <c r="M82" i="11"/>
  <c r="L82" i="11"/>
  <c r="K82" i="11"/>
  <c r="J82" i="11"/>
  <c r="I82" i="11"/>
  <c r="H82" i="11"/>
  <c r="T80" i="11"/>
  <c r="S80" i="11"/>
  <c r="Q80" i="11"/>
  <c r="P80" i="11"/>
  <c r="O80" i="11"/>
  <c r="N80" i="11"/>
  <c r="M80" i="11"/>
  <c r="L80" i="11"/>
  <c r="K80" i="11"/>
  <c r="J80" i="11"/>
  <c r="I80" i="11"/>
  <c r="H80" i="11"/>
  <c r="T78" i="11"/>
  <c r="S78" i="11"/>
  <c r="Q78" i="11"/>
  <c r="P78" i="11"/>
  <c r="O78" i="11"/>
  <c r="N78" i="11"/>
  <c r="M78" i="11"/>
  <c r="L78" i="11"/>
  <c r="K78" i="11"/>
  <c r="J78" i="11"/>
  <c r="I78" i="11"/>
  <c r="H78" i="11"/>
  <c r="U76" i="11"/>
  <c r="T76" i="11"/>
  <c r="S76" i="11"/>
  <c r="Q76" i="11"/>
  <c r="P76" i="11"/>
  <c r="O76" i="11"/>
  <c r="N76" i="11"/>
  <c r="M76" i="11"/>
  <c r="L76" i="11"/>
  <c r="K76" i="11"/>
  <c r="J76" i="11"/>
  <c r="I76" i="11"/>
  <c r="H76" i="11"/>
  <c r="U74" i="11"/>
  <c r="T74" i="11"/>
  <c r="S74" i="11"/>
  <c r="Q74" i="11"/>
  <c r="P74" i="11"/>
  <c r="O74" i="11"/>
  <c r="N74" i="11"/>
  <c r="M74" i="11"/>
  <c r="L74" i="11"/>
  <c r="K74" i="11"/>
  <c r="J74" i="11"/>
  <c r="I74" i="11"/>
  <c r="H74" i="11"/>
  <c r="U72" i="11"/>
  <c r="T72" i="11"/>
  <c r="S72" i="11"/>
  <c r="Q72" i="11"/>
  <c r="P72" i="11"/>
  <c r="O72" i="11"/>
  <c r="N72" i="11"/>
  <c r="M72" i="11"/>
  <c r="L72" i="11"/>
  <c r="K72" i="11"/>
  <c r="J72" i="11"/>
  <c r="I72" i="11"/>
  <c r="H72" i="11"/>
  <c r="U70" i="11"/>
  <c r="T70" i="11"/>
  <c r="S70" i="11"/>
  <c r="Q70" i="11"/>
  <c r="P70" i="11"/>
  <c r="O70" i="11"/>
  <c r="N70" i="11"/>
  <c r="M70" i="11"/>
  <c r="L70" i="11"/>
  <c r="K70" i="11"/>
  <c r="J70" i="11"/>
  <c r="I70" i="11"/>
  <c r="H70" i="11"/>
  <c r="U68" i="11"/>
  <c r="T68" i="11"/>
  <c r="S68" i="11"/>
  <c r="Q68" i="11"/>
  <c r="P68" i="11"/>
  <c r="O68" i="11"/>
  <c r="N68" i="11"/>
  <c r="M68" i="11"/>
  <c r="L68" i="11"/>
  <c r="K68" i="11"/>
  <c r="J68" i="11"/>
  <c r="I68" i="11"/>
  <c r="H68" i="11"/>
  <c r="U66" i="11"/>
  <c r="T66" i="11"/>
  <c r="S66" i="11"/>
  <c r="Q66" i="11"/>
  <c r="P66" i="11"/>
  <c r="O66" i="11"/>
  <c r="N66" i="11"/>
  <c r="M66" i="11"/>
  <c r="L66" i="11"/>
  <c r="K66" i="11"/>
  <c r="J66" i="11"/>
  <c r="I66" i="11"/>
  <c r="H66" i="11"/>
  <c r="U64" i="11"/>
  <c r="T64" i="11"/>
  <c r="S64" i="11"/>
  <c r="Q64" i="11"/>
  <c r="P64" i="11"/>
  <c r="O64" i="11"/>
  <c r="N64" i="11"/>
  <c r="M64" i="11"/>
  <c r="L64" i="11"/>
  <c r="K64" i="11"/>
  <c r="J64" i="11"/>
  <c r="I64" i="11"/>
  <c r="H64" i="11"/>
  <c r="U62" i="11"/>
  <c r="T62" i="11"/>
  <c r="S62" i="11"/>
  <c r="Q62" i="11"/>
  <c r="P62" i="11"/>
  <c r="O62" i="11"/>
  <c r="N62" i="11"/>
  <c r="M62" i="11"/>
  <c r="L62" i="11"/>
  <c r="K62" i="11"/>
  <c r="J62" i="11"/>
  <c r="I62" i="11"/>
  <c r="H62" i="11"/>
  <c r="T60" i="11"/>
  <c r="S60" i="11"/>
  <c r="Q60" i="11"/>
  <c r="P60" i="11"/>
  <c r="O60" i="11"/>
  <c r="N60" i="11"/>
  <c r="M60" i="11"/>
  <c r="L60" i="11"/>
  <c r="K60" i="11"/>
  <c r="J60" i="11"/>
  <c r="I60" i="11"/>
  <c r="H60" i="11"/>
  <c r="T58" i="11"/>
  <c r="S58" i="11"/>
  <c r="Q58" i="11"/>
  <c r="P58" i="11"/>
  <c r="O58" i="11"/>
  <c r="N58" i="11"/>
  <c r="M58" i="11"/>
  <c r="L58" i="11"/>
  <c r="K58" i="11"/>
  <c r="J58" i="11"/>
  <c r="I58" i="11"/>
  <c r="H58" i="11"/>
  <c r="T54" i="11"/>
  <c r="S54" i="11"/>
  <c r="Q54" i="11"/>
  <c r="P54" i="11"/>
  <c r="O54" i="11"/>
  <c r="N54" i="11"/>
  <c r="M54" i="11"/>
  <c r="L54" i="11"/>
  <c r="K54" i="11"/>
  <c r="J54" i="11"/>
  <c r="I54" i="11"/>
  <c r="H54" i="11"/>
  <c r="T50" i="11"/>
  <c r="S50" i="11"/>
  <c r="Q50" i="11"/>
  <c r="P50" i="11"/>
  <c r="O50" i="11"/>
  <c r="N50" i="11"/>
  <c r="M50" i="11"/>
  <c r="L50" i="11"/>
  <c r="K50" i="11"/>
  <c r="J50" i="11"/>
  <c r="I50" i="11"/>
  <c r="H50" i="11"/>
  <c r="S49" i="11"/>
  <c r="T46" i="11"/>
  <c r="S46" i="11"/>
  <c r="Q46" i="11"/>
  <c r="P46" i="11"/>
  <c r="O46" i="11"/>
  <c r="N46" i="11"/>
  <c r="M46" i="11"/>
  <c r="L46" i="11"/>
  <c r="K46" i="11"/>
  <c r="J46" i="11"/>
  <c r="I46" i="11"/>
  <c r="H46" i="11"/>
  <c r="T42" i="11"/>
  <c r="S42" i="11"/>
  <c r="Q42" i="11"/>
  <c r="P42" i="11"/>
  <c r="O42" i="11"/>
  <c r="N42" i="11"/>
  <c r="M42" i="11"/>
  <c r="L42" i="11"/>
  <c r="K42" i="11"/>
  <c r="J42" i="11"/>
  <c r="I42" i="11"/>
  <c r="H42" i="11"/>
  <c r="T38" i="11"/>
  <c r="S38" i="11"/>
  <c r="Q38" i="11"/>
  <c r="P38" i="11"/>
  <c r="O38" i="11"/>
  <c r="N38" i="11"/>
  <c r="M38" i="11"/>
  <c r="L38" i="11"/>
  <c r="K38" i="11"/>
  <c r="J38" i="11"/>
  <c r="I38" i="11"/>
  <c r="H38" i="11"/>
  <c r="S37" i="11"/>
  <c r="AA34" i="11"/>
  <c r="Z34" i="11"/>
  <c r="Y34" i="11"/>
  <c r="T34" i="11"/>
  <c r="S34" i="11"/>
  <c r="Q34" i="11"/>
  <c r="P34" i="11"/>
  <c r="O34" i="11"/>
  <c r="N34" i="11"/>
  <c r="M34" i="11"/>
  <c r="L34" i="11"/>
  <c r="K34" i="11"/>
  <c r="J34" i="11"/>
  <c r="I34" i="11"/>
  <c r="H34" i="11"/>
  <c r="AD30" i="11"/>
  <c r="AB30" i="11"/>
  <c r="AA30" i="11"/>
  <c r="Z30" i="11"/>
  <c r="Y30" i="11"/>
  <c r="T30" i="11"/>
  <c r="S30" i="11"/>
  <c r="Q30" i="11"/>
  <c r="P30" i="11"/>
  <c r="O30" i="11"/>
  <c r="N30" i="11"/>
  <c r="M30" i="11"/>
  <c r="L30" i="11"/>
  <c r="K30" i="11"/>
  <c r="J30" i="11"/>
  <c r="I30" i="11"/>
  <c r="H30" i="11"/>
  <c r="Q25" i="11"/>
  <c r="P25" i="11"/>
  <c r="O25" i="11"/>
  <c r="N25" i="11"/>
  <c r="M25" i="11"/>
  <c r="L25" i="11"/>
  <c r="K25" i="11"/>
  <c r="J25" i="11"/>
  <c r="I25" i="11"/>
  <c r="H25" i="11"/>
  <c r="Q24" i="11"/>
  <c r="P24" i="11"/>
  <c r="O24" i="11"/>
  <c r="N24" i="11"/>
  <c r="M24" i="11"/>
  <c r="L24" i="11"/>
  <c r="K24" i="11"/>
  <c r="J24" i="11"/>
  <c r="I24" i="11"/>
  <c r="H24" i="11"/>
  <c r="T23" i="11"/>
  <c r="T26" i="11" s="1"/>
  <c r="S23" i="11"/>
  <c r="S26" i="11" s="1"/>
  <c r="Q23" i="11"/>
  <c r="Q26" i="11" s="1"/>
  <c r="P23" i="11"/>
  <c r="P26" i="11" s="1"/>
  <c r="O23" i="11"/>
  <c r="O26" i="11" s="1"/>
  <c r="N23" i="11"/>
  <c r="N26" i="11" s="1"/>
  <c r="M23" i="11"/>
  <c r="M26" i="11" s="1"/>
  <c r="L23" i="11"/>
  <c r="L26" i="11" s="1"/>
  <c r="K23" i="11"/>
  <c r="K26" i="11" s="1"/>
  <c r="J23" i="11"/>
  <c r="J26" i="11" s="1"/>
  <c r="I23" i="11"/>
  <c r="I26" i="11" s="1"/>
  <c r="H23" i="11"/>
  <c r="H26" i="11" s="1"/>
  <c r="T22" i="11"/>
  <c r="S22" i="11"/>
  <c r="Q22" i="11"/>
  <c r="P22" i="11"/>
  <c r="O22" i="11"/>
  <c r="N22" i="11"/>
  <c r="N87" i="11" s="1"/>
  <c r="M22" i="11"/>
  <c r="L22" i="11"/>
  <c r="K22" i="11"/>
  <c r="J22" i="11"/>
  <c r="J87" i="11" s="1"/>
  <c r="I22" i="11"/>
  <c r="H22" i="11"/>
  <c r="T20" i="11"/>
  <c r="S20" i="11"/>
  <c r="Q20" i="11"/>
  <c r="P20" i="11"/>
  <c r="O20" i="11"/>
  <c r="O87" i="11" s="1"/>
  <c r="N20" i="11"/>
  <c r="M20" i="11"/>
  <c r="L20" i="11"/>
  <c r="K20" i="11"/>
  <c r="K87" i="11" s="1"/>
  <c r="J20" i="11"/>
  <c r="I20" i="11"/>
  <c r="H20" i="11"/>
  <c r="W18" i="11"/>
  <c r="T18" i="11"/>
  <c r="S18" i="11"/>
  <c r="Q18" i="11"/>
  <c r="Q87" i="11" s="1"/>
  <c r="P18" i="11"/>
  <c r="O18" i="11"/>
  <c r="N18" i="11"/>
  <c r="M18" i="11"/>
  <c r="M87" i="11" s="1"/>
  <c r="L18" i="11"/>
  <c r="K18" i="11"/>
  <c r="J18" i="11"/>
  <c r="I18" i="11"/>
  <c r="I87" i="11" s="1"/>
  <c r="H18" i="11"/>
  <c r="AI16" i="11"/>
  <c r="AH16" i="11"/>
  <c r="AG16" i="11"/>
  <c r="AF16" i="11"/>
  <c r="AH21" i="11" s="1"/>
  <c r="H204" i="11" l="1"/>
  <c r="I204" i="11"/>
  <c r="M204" i="11"/>
  <c r="M214" i="11" s="1"/>
  <c r="M215" i="11" s="1"/>
  <c r="Q204" i="11"/>
  <c r="Q214" i="11" s="1"/>
  <c r="Q215" i="11" s="1"/>
  <c r="N214" i="11"/>
  <c r="N215" i="11" s="1"/>
  <c r="J204" i="11"/>
  <c r="J214" i="11" s="1"/>
  <c r="J215" i="11" s="1"/>
  <c r="N204" i="11"/>
  <c r="I214" i="11"/>
  <c r="I215" i="11" s="1"/>
  <c r="H87" i="11"/>
  <c r="L87" i="11"/>
  <c r="P87" i="11"/>
  <c r="P214" i="11" s="1"/>
  <c r="P215" i="11" s="1"/>
  <c r="O214" i="11"/>
  <c r="O215" i="11" s="1"/>
  <c r="K204" i="11"/>
  <c r="K214" i="11" s="1"/>
  <c r="K215" i="11" s="1"/>
  <c r="O204" i="11"/>
  <c r="L150" i="11"/>
  <c r="L204" i="11" s="1"/>
  <c r="I486" i="8"/>
  <c r="J486" i="8"/>
  <c r="K486" i="8"/>
  <c r="H486" i="8"/>
  <c r="I494" i="8"/>
  <c r="J494" i="8"/>
  <c r="K494" i="8"/>
  <c r="H494" i="8"/>
  <c r="H214" i="11" l="1"/>
  <c r="H215" i="11" s="1"/>
  <c r="L214" i="11"/>
  <c r="L215" i="11" s="1"/>
  <c r="I32" i="10"/>
  <c r="Q122" i="10"/>
  <c r="O122" i="10"/>
  <c r="M122" i="10"/>
  <c r="L122" i="10"/>
  <c r="K122" i="10"/>
  <c r="T120" i="10"/>
  <c r="S120" i="10"/>
  <c r="Q120" i="10"/>
  <c r="P120" i="10"/>
  <c r="O120" i="10"/>
  <c r="N120" i="10"/>
  <c r="M120" i="10"/>
  <c r="L120" i="10"/>
  <c r="K120" i="10"/>
  <c r="J120" i="10"/>
  <c r="I120" i="10"/>
  <c r="H120" i="10"/>
  <c r="U118" i="10"/>
  <c r="T118" i="10"/>
  <c r="S118" i="10"/>
  <c r="Q118" i="10"/>
  <c r="P118" i="10"/>
  <c r="O118" i="10"/>
  <c r="N118" i="10"/>
  <c r="M118" i="10"/>
  <c r="L118" i="10"/>
  <c r="K118" i="10"/>
  <c r="J118" i="10"/>
  <c r="I118" i="10"/>
  <c r="H118" i="10"/>
  <c r="U116" i="10"/>
  <c r="T116" i="10"/>
  <c r="S116" i="10"/>
  <c r="Q116" i="10"/>
  <c r="P116" i="10"/>
  <c r="O116" i="10"/>
  <c r="N116" i="10"/>
  <c r="M116" i="10"/>
  <c r="L116" i="10"/>
  <c r="K116" i="10"/>
  <c r="J116" i="10"/>
  <c r="I116" i="10"/>
  <c r="H116" i="10"/>
  <c r="U114" i="10"/>
  <c r="T114" i="10"/>
  <c r="S114" i="10"/>
  <c r="Q114" i="10"/>
  <c r="P114" i="10"/>
  <c r="O114" i="10"/>
  <c r="N114" i="10"/>
  <c r="M114" i="10"/>
  <c r="L114" i="10"/>
  <c r="K114" i="10"/>
  <c r="J114" i="10"/>
  <c r="I114" i="10"/>
  <c r="H114" i="10"/>
  <c r="U112" i="10"/>
  <c r="T112" i="10"/>
  <c r="S112" i="10"/>
  <c r="Q112" i="10"/>
  <c r="P112" i="10"/>
  <c r="O112" i="10"/>
  <c r="N112" i="10"/>
  <c r="M112" i="10"/>
  <c r="L112" i="10"/>
  <c r="K112" i="10"/>
  <c r="J112" i="10"/>
  <c r="I112" i="10"/>
  <c r="H112" i="10"/>
  <c r="U110" i="10"/>
  <c r="T110" i="10"/>
  <c r="S110" i="10"/>
  <c r="Q110" i="10"/>
  <c r="P110" i="10"/>
  <c r="O110" i="10"/>
  <c r="N110" i="10"/>
  <c r="M110" i="10"/>
  <c r="L110" i="10"/>
  <c r="K110" i="10"/>
  <c r="J110" i="10"/>
  <c r="I110" i="10"/>
  <c r="H110" i="10"/>
  <c r="U108" i="10"/>
  <c r="T108" i="10"/>
  <c r="S108" i="10"/>
  <c r="Q108" i="10"/>
  <c r="P108" i="10"/>
  <c r="O108" i="10"/>
  <c r="N108" i="10"/>
  <c r="M108" i="10"/>
  <c r="L108" i="10"/>
  <c r="K108" i="10"/>
  <c r="Z100" i="10" s="1"/>
  <c r="J108" i="10"/>
  <c r="I108" i="10"/>
  <c r="H108" i="10"/>
  <c r="U106" i="10"/>
  <c r="T106" i="10"/>
  <c r="S106" i="10"/>
  <c r="Q106" i="10"/>
  <c r="P106" i="10"/>
  <c r="O106" i="10"/>
  <c r="N106" i="10"/>
  <c r="M106" i="10"/>
  <c r="L106" i="10"/>
  <c r="K106" i="10"/>
  <c r="J106" i="10"/>
  <c r="I106" i="10"/>
  <c r="H106" i="10"/>
  <c r="U104" i="10"/>
  <c r="T104" i="10"/>
  <c r="S104" i="10"/>
  <c r="Q104" i="10"/>
  <c r="P104" i="10"/>
  <c r="O104" i="10"/>
  <c r="N104" i="10"/>
  <c r="M104" i="10"/>
  <c r="L104" i="10"/>
  <c r="K104" i="10"/>
  <c r="J104" i="10"/>
  <c r="I104" i="10"/>
  <c r="H104" i="10"/>
  <c r="U102" i="10"/>
  <c r="T102" i="10"/>
  <c r="S102" i="10"/>
  <c r="Q102" i="10"/>
  <c r="AC100" i="10" s="1"/>
  <c r="P102" i="10"/>
  <c r="O102" i="10"/>
  <c r="N102" i="10"/>
  <c r="M102" i="10"/>
  <c r="L102" i="10"/>
  <c r="K102" i="10"/>
  <c r="J102" i="10"/>
  <c r="Y100" i="10" s="1"/>
  <c r="I102" i="10"/>
  <c r="X100" i="10" s="1"/>
  <c r="H102" i="10"/>
  <c r="AB100" i="10"/>
  <c r="W100" i="10"/>
  <c r="T100" i="10"/>
  <c r="S100" i="10"/>
  <c r="Q100" i="10"/>
  <c r="P100" i="10"/>
  <c r="O100" i="10"/>
  <c r="N100" i="10"/>
  <c r="M100" i="10"/>
  <c r="L100" i="10"/>
  <c r="K100" i="10"/>
  <c r="J100" i="10"/>
  <c r="I100" i="10"/>
  <c r="H100" i="10"/>
  <c r="T98" i="10"/>
  <c r="S98" i="10"/>
  <c r="Q98" i="10"/>
  <c r="Q123" i="10" s="1"/>
  <c r="P98" i="10"/>
  <c r="P123" i="10" s="1"/>
  <c r="O98" i="10"/>
  <c r="O123" i="10" s="1"/>
  <c r="N98" i="10"/>
  <c r="N123" i="10" s="1"/>
  <c r="M98" i="10"/>
  <c r="M123" i="10" s="1"/>
  <c r="L98" i="10"/>
  <c r="L123" i="10" s="1"/>
  <c r="K98" i="10"/>
  <c r="K123" i="10" s="1"/>
  <c r="J98" i="10"/>
  <c r="J123" i="10" s="1"/>
  <c r="I98" i="10"/>
  <c r="I123" i="10" s="1"/>
  <c r="H98" i="10"/>
  <c r="H123" i="10" s="1"/>
  <c r="Q94" i="10"/>
  <c r="P94" i="10"/>
  <c r="O94" i="10"/>
  <c r="N94" i="10"/>
  <c r="M94" i="10"/>
  <c r="L94" i="10"/>
  <c r="K94" i="10"/>
  <c r="J94" i="10"/>
  <c r="I94" i="10"/>
  <c r="H94" i="10"/>
  <c r="U92" i="10"/>
  <c r="S92" i="10"/>
  <c r="Q92" i="10"/>
  <c r="P92" i="10"/>
  <c r="O92" i="10"/>
  <c r="N92" i="10"/>
  <c r="M92" i="10"/>
  <c r="L92" i="10"/>
  <c r="K92" i="10"/>
  <c r="J92" i="10"/>
  <c r="I92" i="10"/>
  <c r="H92" i="10"/>
  <c r="U90" i="10"/>
  <c r="S90" i="10"/>
  <c r="U88" i="10"/>
  <c r="S88" i="10"/>
  <c r="Q88" i="10"/>
  <c r="P88" i="10"/>
  <c r="O88" i="10"/>
  <c r="N88" i="10"/>
  <c r="M88" i="10"/>
  <c r="L88" i="10"/>
  <c r="K88" i="10"/>
  <c r="J88" i="10"/>
  <c r="I88" i="10"/>
  <c r="H88" i="10"/>
  <c r="U86" i="10"/>
  <c r="S86" i="10"/>
  <c r="U84" i="10"/>
  <c r="S84" i="10"/>
  <c r="Q84" i="10"/>
  <c r="P84" i="10"/>
  <c r="O84" i="10"/>
  <c r="N84" i="10"/>
  <c r="M84" i="10"/>
  <c r="L84" i="10"/>
  <c r="K84" i="10"/>
  <c r="J84" i="10"/>
  <c r="I84" i="10"/>
  <c r="H84" i="10"/>
  <c r="U82" i="10"/>
  <c r="S82" i="10"/>
  <c r="U80" i="10"/>
  <c r="S80" i="10"/>
  <c r="Q80" i="10"/>
  <c r="P80" i="10"/>
  <c r="O80" i="10"/>
  <c r="N80" i="10"/>
  <c r="M80" i="10"/>
  <c r="L80" i="10"/>
  <c r="K80" i="10"/>
  <c r="J80" i="10"/>
  <c r="I80" i="10"/>
  <c r="H80" i="10"/>
  <c r="U78" i="10"/>
  <c r="S78" i="10"/>
  <c r="U76" i="10"/>
  <c r="S76" i="10"/>
  <c r="Q76" i="10"/>
  <c r="P76" i="10"/>
  <c r="O76" i="10"/>
  <c r="N76" i="10"/>
  <c r="M76" i="10"/>
  <c r="L76" i="10"/>
  <c r="K76" i="10"/>
  <c r="J76" i="10"/>
  <c r="I76" i="10"/>
  <c r="H76" i="10"/>
  <c r="U74" i="10"/>
  <c r="S74" i="10"/>
  <c r="U72" i="10"/>
  <c r="S72" i="10"/>
  <c r="Q72" i="10"/>
  <c r="P72" i="10"/>
  <c r="O72" i="10"/>
  <c r="N72" i="10"/>
  <c r="M72" i="10"/>
  <c r="L72" i="10"/>
  <c r="K72" i="10"/>
  <c r="J72" i="10"/>
  <c r="I72" i="10"/>
  <c r="H72" i="10"/>
  <c r="U70" i="10"/>
  <c r="S70" i="10"/>
  <c r="U68" i="10"/>
  <c r="S68" i="10"/>
  <c r="Q68" i="10"/>
  <c r="P68" i="10"/>
  <c r="O68" i="10"/>
  <c r="N68" i="10"/>
  <c r="M68" i="10"/>
  <c r="L68" i="10"/>
  <c r="K68" i="10"/>
  <c r="J68" i="10"/>
  <c r="I68" i="10"/>
  <c r="H68" i="10"/>
  <c r="X59" i="10" s="1"/>
  <c r="U66" i="10"/>
  <c r="S66" i="10"/>
  <c r="U64" i="10"/>
  <c r="S64" i="10"/>
  <c r="Q64" i="10"/>
  <c r="AD59" i="10" s="1"/>
  <c r="P64" i="10"/>
  <c r="O64" i="10"/>
  <c r="N64" i="10"/>
  <c r="M64" i="10"/>
  <c r="L64" i="10"/>
  <c r="K64" i="10"/>
  <c r="J64" i="10"/>
  <c r="Z59" i="10" s="1"/>
  <c r="I64" i="10"/>
  <c r="Y59" i="10" s="1"/>
  <c r="H64" i="10"/>
  <c r="U62" i="10"/>
  <c r="S62" i="10"/>
  <c r="Z61" i="10"/>
  <c r="Y61" i="10"/>
  <c r="X61" i="10"/>
  <c r="Z60" i="10"/>
  <c r="Y60" i="10"/>
  <c r="X60" i="10"/>
  <c r="S60" i="10"/>
  <c r="Q60" i="10"/>
  <c r="P60" i="10"/>
  <c r="O60" i="10"/>
  <c r="N60" i="10"/>
  <c r="M60" i="10"/>
  <c r="L60" i="10"/>
  <c r="K60" i="10"/>
  <c r="J60" i="10"/>
  <c r="I60" i="10"/>
  <c r="H60" i="10"/>
  <c r="AC59" i="10"/>
  <c r="AA59" i="10"/>
  <c r="AD58" i="10"/>
  <c r="AC58" i="10"/>
  <c r="AA58" i="10"/>
  <c r="Z58" i="10"/>
  <c r="Y58" i="10"/>
  <c r="X58" i="10"/>
  <c r="S58" i="10"/>
  <c r="AD57" i="10"/>
  <c r="AC57" i="10"/>
  <c r="AA57" i="10"/>
  <c r="Z57" i="10"/>
  <c r="Y57" i="10"/>
  <c r="X57" i="10"/>
  <c r="U56" i="10"/>
  <c r="S56" i="10"/>
  <c r="Q56" i="10"/>
  <c r="P56" i="10"/>
  <c r="O56" i="10"/>
  <c r="N56" i="10"/>
  <c r="M56" i="10"/>
  <c r="L56" i="10"/>
  <c r="K56" i="10"/>
  <c r="J56" i="10"/>
  <c r="I56" i="10"/>
  <c r="H56" i="10"/>
  <c r="U54" i="10"/>
  <c r="S54" i="10"/>
  <c r="Q54" i="10"/>
  <c r="P54" i="10"/>
  <c r="O54" i="10"/>
  <c r="N54" i="10"/>
  <c r="M54" i="10"/>
  <c r="L54" i="10"/>
  <c r="K54" i="10"/>
  <c r="J54" i="10"/>
  <c r="I54" i="10"/>
  <c r="H54" i="10"/>
  <c r="U52" i="10"/>
  <c r="S52" i="10"/>
  <c r="Q52" i="10"/>
  <c r="P52" i="10"/>
  <c r="O52" i="10"/>
  <c r="N52" i="10"/>
  <c r="M52" i="10"/>
  <c r="L52" i="10"/>
  <c r="K52" i="10"/>
  <c r="J52" i="10"/>
  <c r="I52" i="10"/>
  <c r="H52" i="10"/>
  <c r="U50" i="10"/>
  <c r="S50" i="10"/>
  <c r="Q50" i="10"/>
  <c r="P50" i="10"/>
  <c r="O50" i="10"/>
  <c r="N50" i="10"/>
  <c r="M50" i="10"/>
  <c r="L50" i="10"/>
  <c r="K50" i="10"/>
  <c r="J50" i="10"/>
  <c r="I50" i="10"/>
  <c r="H50" i="10"/>
  <c r="U48" i="10"/>
  <c r="S48" i="10"/>
  <c r="Q48" i="10"/>
  <c r="P48" i="10"/>
  <c r="O48" i="10"/>
  <c r="N48" i="10"/>
  <c r="M48" i="10"/>
  <c r="L48" i="10"/>
  <c r="K48" i="10"/>
  <c r="J48" i="10"/>
  <c r="I48" i="10"/>
  <c r="H48" i="10"/>
  <c r="U46" i="10"/>
  <c r="S46" i="10"/>
  <c r="Q46" i="10"/>
  <c r="P46" i="10"/>
  <c r="O46" i="10"/>
  <c r="N46" i="10"/>
  <c r="M46" i="10"/>
  <c r="L46" i="10"/>
  <c r="K46" i="10"/>
  <c r="J46" i="10"/>
  <c r="I46" i="10"/>
  <c r="H46" i="10"/>
  <c r="U44" i="10"/>
  <c r="S44" i="10"/>
  <c r="Q44" i="10"/>
  <c r="P44" i="10"/>
  <c r="O44" i="10"/>
  <c r="N44" i="10"/>
  <c r="M44" i="10"/>
  <c r="L44" i="10"/>
  <c r="K44" i="10"/>
  <c r="J44" i="10"/>
  <c r="I44" i="10"/>
  <c r="H44" i="10"/>
  <c r="U42" i="10"/>
  <c r="S42" i="10"/>
  <c r="Q42" i="10"/>
  <c r="P42" i="10"/>
  <c r="O42" i="10"/>
  <c r="N42" i="10"/>
  <c r="M42" i="10"/>
  <c r="L42" i="10"/>
  <c r="K42" i="10"/>
  <c r="J42" i="10"/>
  <c r="I42" i="10"/>
  <c r="H42" i="10"/>
  <c r="Y40" i="10"/>
  <c r="X40" i="10"/>
  <c r="W40" i="10"/>
  <c r="S40" i="10"/>
  <c r="Q40" i="10"/>
  <c r="Q95" i="10" s="1"/>
  <c r="P40" i="10"/>
  <c r="P95" i="10" s="1"/>
  <c r="O40" i="10"/>
  <c r="O95" i="10" s="1"/>
  <c r="N40" i="10"/>
  <c r="N95" i="10" s="1"/>
  <c r="M40" i="10"/>
  <c r="M95" i="10" s="1"/>
  <c r="L40" i="10"/>
  <c r="L95" i="10" s="1"/>
  <c r="K40" i="10"/>
  <c r="K95" i="10" s="1"/>
  <c r="J40" i="10"/>
  <c r="J95" i="10" s="1"/>
  <c r="I40" i="10"/>
  <c r="I95" i="10" s="1"/>
  <c r="H40" i="10"/>
  <c r="H95" i="10" s="1"/>
  <c r="AC39" i="10"/>
  <c r="AB39" i="10"/>
  <c r="Z39" i="10"/>
  <c r="Y39" i="10"/>
  <c r="X39" i="10"/>
  <c r="W39" i="10"/>
  <c r="T34" i="10"/>
  <c r="S34" i="10"/>
  <c r="Q34" i="10"/>
  <c r="Q35" i="10" s="1"/>
  <c r="P34" i="10"/>
  <c r="P35" i="10" s="1"/>
  <c r="O34" i="10"/>
  <c r="O35" i="10" s="1"/>
  <c r="N34" i="10"/>
  <c r="N35" i="10" s="1"/>
  <c r="M34" i="10"/>
  <c r="L34" i="10"/>
  <c r="K34" i="10"/>
  <c r="K35" i="10" s="1"/>
  <c r="J34" i="10"/>
  <c r="J35" i="10" s="1"/>
  <c r="I34" i="10"/>
  <c r="H34" i="10"/>
  <c r="H35" i="10" s="1"/>
  <c r="T32" i="10"/>
  <c r="S32" i="10"/>
  <c r="Q32" i="10"/>
  <c r="P32" i="10"/>
  <c r="O32" i="10"/>
  <c r="N32" i="10"/>
  <c r="M32" i="10"/>
  <c r="L32" i="10"/>
  <c r="K32" i="10"/>
  <c r="J32" i="10"/>
  <c r="H32" i="10"/>
  <c r="Q28" i="10"/>
  <c r="P28" i="10"/>
  <c r="M28" i="10"/>
  <c r="L28" i="10"/>
  <c r="K28" i="10"/>
  <c r="J28" i="10"/>
  <c r="I28" i="10"/>
  <c r="H28" i="10"/>
  <c r="T26" i="10"/>
  <c r="S26" i="10"/>
  <c r="Q26" i="10"/>
  <c r="P26" i="10"/>
  <c r="O26" i="10"/>
  <c r="N26" i="10"/>
  <c r="M26" i="10"/>
  <c r="L26" i="10"/>
  <c r="K26" i="10"/>
  <c r="J26" i="10"/>
  <c r="I26" i="10"/>
  <c r="H26" i="10"/>
  <c r="T24" i="10"/>
  <c r="S24" i="10"/>
  <c r="Q24" i="10"/>
  <c r="P24" i="10"/>
  <c r="O24" i="10"/>
  <c r="O29" i="10" s="1"/>
  <c r="N24" i="10"/>
  <c r="N29" i="10" s="1"/>
  <c r="M24" i="10"/>
  <c r="L24" i="10"/>
  <c r="K24" i="10"/>
  <c r="K29" i="10" s="1"/>
  <c r="J24" i="10"/>
  <c r="J29" i="10" s="1"/>
  <c r="T22" i="10"/>
  <c r="S22" i="10"/>
  <c r="Q22" i="10"/>
  <c r="Q29" i="10" s="1"/>
  <c r="P22" i="10"/>
  <c r="P29" i="10" s="1"/>
  <c r="O22" i="10"/>
  <c r="N22" i="10"/>
  <c r="M22" i="10"/>
  <c r="M29" i="10" s="1"/>
  <c r="L22" i="10"/>
  <c r="L29" i="10" s="1"/>
  <c r="K22" i="10"/>
  <c r="J22" i="10"/>
  <c r="I22" i="10"/>
  <c r="I29" i="10" s="1"/>
  <c r="H22" i="10"/>
  <c r="H29" i="10" s="1"/>
  <c r="T20" i="10"/>
  <c r="S20" i="10"/>
  <c r="T18" i="10"/>
  <c r="S18" i="10"/>
  <c r="T16" i="10"/>
  <c r="S16" i="10"/>
  <c r="M35" i="10" l="1"/>
  <c r="M36" i="10" s="1"/>
  <c r="L35" i="10"/>
  <c r="L36" i="10" s="1"/>
  <c r="I35" i="10"/>
  <c r="I36" i="10" s="1"/>
  <c r="H124" i="10"/>
  <c r="L124" i="10"/>
  <c r="P124" i="10"/>
  <c r="J36" i="10"/>
  <c r="N36" i="10"/>
  <c r="K36" i="10"/>
  <c r="O36" i="10"/>
  <c r="I124" i="10"/>
  <c r="M124" i="10"/>
  <c r="Q124" i="10"/>
  <c r="H36" i="10"/>
  <c r="P36" i="10"/>
  <c r="J124" i="10"/>
  <c r="N124" i="10"/>
  <c r="Q36" i="10"/>
  <c r="K124" i="10"/>
  <c r="O124" i="10"/>
  <c r="O125" i="10" s="1"/>
  <c r="U86" i="7"/>
  <c r="T86" i="7"/>
  <c r="S86" i="7"/>
  <c r="Q86" i="7"/>
  <c r="P86" i="7"/>
  <c r="O86" i="7"/>
  <c r="N86" i="7"/>
  <c r="M86" i="7"/>
  <c r="L86" i="7"/>
  <c r="K86" i="7"/>
  <c r="J86" i="7"/>
  <c r="I86" i="7"/>
  <c r="H86" i="7"/>
  <c r="U84" i="7"/>
  <c r="T84" i="7"/>
  <c r="S84" i="7"/>
  <c r="Q84" i="7"/>
  <c r="P84" i="7"/>
  <c r="O84" i="7"/>
  <c r="N84" i="7"/>
  <c r="M84" i="7"/>
  <c r="L84" i="7"/>
  <c r="K84" i="7"/>
  <c r="J84" i="7"/>
  <c r="I84" i="7"/>
  <c r="H84" i="7"/>
  <c r="U82" i="7"/>
  <c r="T82" i="7"/>
  <c r="S82" i="7"/>
  <c r="Q82" i="7"/>
  <c r="P82" i="7"/>
  <c r="O82" i="7"/>
  <c r="N82" i="7"/>
  <c r="M82" i="7"/>
  <c r="L82" i="7"/>
  <c r="K82" i="7"/>
  <c r="J82" i="7"/>
  <c r="I82" i="7"/>
  <c r="H82" i="7"/>
  <c r="U80" i="7"/>
  <c r="T80" i="7"/>
  <c r="S80" i="7"/>
  <c r="Q80" i="7"/>
  <c r="P80" i="7"/>
  <c r="O80" i="7"/>
  <c r="N80" i="7"/>
  <c r="M80" i="7"/>
  <c r="L80" i="7"/>
  <c r="K80" i="7"/>
  <c r="J80" i="7"/>
  <c r="I80" i="7"/>
  <c r="H80" i="7"/>
  <c r="U78" i="7"/>
  <c r="T78" i="7"/>
  <c r="S78" i="7"/>
  <c r="Q78" i="7"/>
  <c r="P78" i="7"/>
  <c r="O78" i="7"/>
  <c r="N78" i="7"/>
  <c r="M78" i="7"/>
  <c r="L78" i="7"/>
  <c r="K78" i="7"/>
  <c r="J78" i="7"/>
  <c r="I78" i="7"/>
  <c r="H78" i="7"/>
  <c r="U76" i="7"/>
  <c r="T76" i="7"/>
  <c r="S76" i="7"/>
  <c r="Q76" i="7"/>
  <c r="P76" i="7"/>
  <c r="O76" i="7"/>
  <c r="N76" i="7"/>
  <c r="M76" i="7"/>
  <c r="L76" i="7"/>
  <c r="K76" i="7"/>
  <c r="J76" i="7"/>
  <c r="I76" i="7"/>
  <c r="H76" i="7"/>
  <c r="U74" i="7"/>
  <c r="T74" i="7"/>
  <c r="S74" i="7"/>
  <c r="Q74" i="7"/>
  <c r="P74" i="7"/>
  <c r="O74" i="7"/>
  <c r="N74" i="7"/>
  <c r="M74" i="7"/>
  <c r="L74" i="7"/>
  <c r="K74" i="7"/>
  <c r="J74" i="7"/>
  <c r="I74" i="7"/>
  <c r="H74" i="7"/>
  <c r="U72" i="7"/>
  <c r="T72" i="7"/>
  <c r="S72" i="7"/>
  <c r="Q72" i="7"/>
  <c r="P72" i="7"/>
  <c r="O72" i="7"/>
  <c r="N72" i="7"/>
  <c r="M72" i="7"/>
  <c r="L72" i="7"/>
  <c r="K72" i="7"/>
  <c r="J72" i="7"/>
  <c r="I72" i="7"/>
  <c r="H72" i="7"/>
  <c r="U70" i="7"/>
  <c r="T70" i="7"/>
  <c r="S70" i="7"/>
  <c r="Q70" i="7"/>
  <c r="P70" i="7"/>
  <c r="O70" i="7"/>
  <c r="N70" i="7"/>
  <c r="M70" i="7"/>
  <c r="L70" i="7"/>
  <c r="K70" i="7"/>
  <c r="J70" i="7"/>
  <c r="I70" i="7"/>
  <c r="H70" i="7"/>
  <c r="S68" i="7"/>
  <c r="Q68" i="7"/>
  <c r="P68" i="7"/>
  <c r="O68" i="7"/>
  <c r="N68" i="7"/>
  <c r="N87" i="7" s="1"/>
  <c r="M68" i="7"/>
  <c r="L68" i="7"/>
  <c r="K68" i="7"/>
  <c r="J68" i="7"/>
  <c r="J87" i="7" s="1"/>
  <c r="I68" i="7"/>
  <c r="H68" i="7"/>
  <c r="S66" i="7"/>
  <c r="Q66" i="7"/>
  <c r="P66" i="7"/>
  <c r="O66" i="7"/>
  <c r="N66" i="7"/>
  <c r="M66" i="7"/>
  <c r="L66" i="7"/>
  <c r="K66" i="7"/>
  <c r="J66" i="7"/>
  <c r="I66" i="7"/>
  <c r="H66" i="7"/>
  <c r="S64" i="7"/>
  <c r="Q64" i="7"/>
  <c r="O64" i="7"/>
  <c r="N64" i="7"/>
  <c r="M64" i="7"/>
  <c r="L64" i="7"/>
  <c r="K64" i="7"/>
  <c r="J64" i="7"/>
  <c r="I64" i="7"/>
  <c r="H64" i="7"/>
  <c r="Q62" i="7"/>
  <c r="Q87" i="7" s="1"/>
  <c r="P62" i="7"/>
  <c r="P87" i="7" s="1"/>
  <c r="O62" i="7"/>
  <c r="O87" i="7" s="1"/>
  <c r="N62" i="7"/>
  <c r="M62" i="7"/>
  <c r="M87" i="7" s="1"/>
  <c r="L62" i="7"/>
  <c r="L87" i="7" s="1"/>
  <c r="K62" i="7"/>
  <c r="K87" i="7" s="1"/>
  <c r="J62" i="7"/>
  <c r="I62" i="7"/>
  <c r="I87" i="7" s="1"/>
  <c r="H62" i="7"/>
  <c r="H87" i="7" s="1"/>
  <c r="O59" i="7"/>
  <c r="K59" i="7"/>
  <c r="Q58" i="7"/>
  <c r="P58" i="7"/>
  <c r="O58" i="7"/>
  <c r="N58" i="7"/>
  <c r="M58" i="7"/>
  <c r="L58" i="7"/>
  <c r="K58" i="7"/>
  <c r="J58" i="7"/>
  <c r="I58" i="7"/>
  <c r="H58" i="7"/>
  <c r="S56" i="7"/>
  <c r="Q56" i="7"/>
  <c r="Q59" i="7" s="1"/>
  <c r="P56" i="7"/>
  <c r="P59" i="7" s="1"/>
  <c r="O56" i="7"/>
  <c r="N56" i="7"/>
  <c r="N59" i="7" s="1"/>
  <c r="M56" i="7"/>
  <c r="M59" i="7" s="1"/>
  <c r="L56" i="7"/>
  <c r="L59" i="7" s="1"/>
  <c r="K56" i="7"/>
  <c r="J56" i="7"/>
  <c r="J59" i="7" s="1"/>
  <c r="I56" i="7"/>
  <c r="I59" i="7" s="1"/>
  <c r="H56" i="7"/>
  <c r="H59" i="7" s="1"/>
  <c r="N51" i="7"/>
  <c r="N88" i="7" s="1"/>
  <c r="N89" i="7" s="1"/>
  <c r="O50" i="7"/>
  <c r="N50" i="7"/>
  <c r="M50" i="7"/>
  <c r="L50" i="7"/>
  <c r="K50" i="7"/>
  <c r="J50" i="7"/>
  <c r="I50" i="7"/>
  <c r="H50" i="7"/>
  <c r="N48" i="7"/>
  <c r="M48" i="7"/>
  <c r="L48" i="7"/>
  <c r="K48" i="7"/>
  <c r="J48" i="7"/>
  <c r="I48" i="7"/>
  <c r="H48" i="7"/>
  <c r="Q46" i="7"/>
  <c r="Q51" i="7" s="1"/>
  <c r="Q88" i="7" s="1"/>
  <c r="Q89" i="7" s="1"/>
  <c r="P46" i="7"/>
  <c r="P51" i="7" s="1"/>
  <c r="O46" i="7"/>
  <c r="O51" i="7" s="1"/>
  <c r="O88" i="7" s="1"/>
  <c r="O89" i="7" s="1"/>
  <c r="N46" i="7"/>
  <c r="M46" i="7"/>
  <c r="M51" i="7" s="1"/>
  <c r="M88" i="7" s="1"/>
  <c r="M89" i="7" s="1"/>
  <c r="L46" i="7"/>
  <c r="L51" i="7" s="1"/>
  <c r="K46" i="7"/>
  <c r="K51" i="7" s="1"/>
  <c r="K88" i="7" s="1"/>
  <c r="K89" i="7" s="1"/>
  <c r="J46" i="7"/>
  <c r="I46" i="7"/>
  <c r="I51" i="7" s="1"/>
  <c r="I88" i="7" s="1"/>
  <c r="I89" i="7" s="1"/>
  <c r="H46" i="7"/>
  <c r="H51" i="7" s="1"/>
  <c r="Q44" i="7"/>
  <c r="P44" i="7"/>
  <c r="O44" i="7"/>
  <c r="N44" i="7"/>
  <c r="M44" i="7"/>
  <c r="L44" i="7"/>
  <c r="K44" i="7"/>
  <c r="J44" i="7"/>
  <c r="I44" i="7"/>
  <c r="Q42" i="7"/>
  <c r="P42" i="7"/>
  <c r="O42" i="7"/>
  <c r="M42" i="7"/>
  <c r="L42" i="7"/>
  <c r="K42" i="7"/>
  <c r="J42" i="7"/>
  <c r="I42" i="7"/>
  <c r="H42" i="7"/>
  <c r="Q40" i="7"/>
  <c r="P40" i="7"/>
  <c r="O40" i="7"/>
  <c r="N40" i="7"/>
  <c r="M40" i="7"/>
  <c r="L40" i="7"/>
  <c r="K40" i="7"/>
  <c r="J40" i="7"/>
  <c r="I40" i="7"/>
  <c r="H40" i="7"/>
  <c r="S38" i="7"/>
  <c r="S35" i="7"/>
  <c r="Q32" i="7"/>
  <c r="P32" i="7"/>
  <c r="O32" i="7"/>
  <c r="N32" i="7"/>
  <c r="M32" i="7"/>
  <c r="L32" i="7"/>
  <c r="K32" i="7"/>
  <c r="J32" i="7"/>
  <c r="I32" i="7"/>
  <c r="H32" i="7"/>
  <c r="AC29" i="7"/>
  <c r="AB29" i="7"/>
  <c r="Z29" i="7"/>
  <c r="Y29" i="7"/>
  <c r="X29" i="7"/>
  <c r="W29" i="7"/>
  <c r="Q28" i="7"/>
  <c r="P28" i="7"/>
  <c r="O28" i="7"/>
  <c r="N28" i="7"/>
  <c r="M28" i="7"/>
  <c r="L28" i="7"/>
  <c r="K28" i="7"/>
  <c r="J28" i="7"/>
  <c r="I28" i="7"/>
  <c r="H28" i="7"/>
  <c r="S24" i="7"/>
  <c r="S21" i="7"/>
  <c r="Q18" i="7"/>
  <c r="P18" i="7"/>
  <c r="O18" i="7"/>
  <c r="N18" i="7"/>
  <c r="M18" i="7"/>
  <c r="K18" i="7"/>
  <c r="J18" i="7"/>
  <c r="J51" i="7" s="1"/>
  <c r="J88" i="7" s="1"/>
  <c r="J89" i="7" s="1"/>
  <c r="I18" i="7"/>
  <c r="H18" i="7"/>
  <c r="AC16" i="7"/>
  <c r="AB16" i="7"/>
  <c r="Z16" i="7"/>
  <c r="Y16" i="7"/>
  <c r="X16" i="7"/>
  <c r="W16" i="7"/>
  <c r="AC15" i="7"/>
  <c r="AB15" i="7"/>
  <c r="Z15" i="7"/>
  <c r="Y15" i="7"/>
  <c r="X15" i="7"/>
  <c r="W15" i="7"/>
  <c r="J125" i="10" l="1"/>
  <c r="L125" i="10"/>
  <c r="H125" i="10"/>
  <c r="Q125" i="10"/>
  <c r="M125" i="10"/>
  <c r="I125" i="10"/>
  <c r="K125" i="10"/>
  <c r="N125" i="10"/>
  <c r="P125" i="10"/>
  <c r="H88" i="7"/>
  <c r="H89" i="7" s="1"/>
  <c r="L88" i="7"/>
  <c r="L89" i="7" s="1"/>
  <c r="P88" i="7"/>
  <c r="P89" i="7" s="1"/>
  <c r="T194" i="9"/>
  <c r="S194" i="9"/>
  <c r="Q194" i="9"/>
  <c r="P194" i="9"/>
  <c r="O194" i="9"/>
  <c r="N194" i="9"/>
  <c r="M194" i="9"/>
  <c r="L194" i="9"/>
  <c r="K194" i="9"/>
  <c r="J194" i="9"/>
  <c r="I194" i="9"/>
  <c r="H194" i="9"/>
  <c r="S192" i="9"/>
  <c r="Q192" i="9"/>
  <c r="P192" i="9"/>
  <c r="O192" i="9"/>
  <c r="N192" i="9"/>
  <c r="M192" i="9"/>
  <c r="L192" i="9"/>
  <c r="T190" i="9"/>
  <c r="T192" i="9" s="1"/>
  <c r="S190" i="9"/>
  <c r="Q190" i="9"/>
  <c r="P190" i="9"/>
  <c r="O190" i="9"/>
  <c r="N190" i="9"/>
  <c r="M190" i="9"/>
  <c r="L190" i="9"/>
  <c r="K190" i="9"/>
  <c r="K192" i="9" s="1"/>
  <c r="J190" i="9"/>
  <c r="J192" i="9" s="1"/>
  <c r="I190" i="9"/>
  <c r="I192" i="9" s="1"/>
  <c r="H190" i="9"/>
  <c r="H192" i="9" s="1"/>
  <c r="T188" i="9"/>
  <c r="S188" i="9"/>
  <c r="Q188" i="9"/>
  <c r="P188" i="9"/>
  <c r="O188" i="9"/>
  <c r="N188" i="9"/>
  <c r="M188" i="9"/>
  <c r="L188" i="9"/>
  <c r="K188" i="9"/>
  <c r="J188" i="9"/>
  <c r="I188" i="9"/>
  <c r="H188" i="9"/>
  <c r="T184" i="9"/>
  <c r="S184" i="9"/>
  <c r="Q184" i="9"/>
  <c r="Q195" i="9" s="1"/>
  <c r="P184" i="9"/>
  <c r="P195" i="9" s="1"/>
  <c r="O184" i="9"/>
  <c r="O195" i="9" s="1"/>
  <c r="N184" i="9"/>
  <c r="N195" i="9" s="1"/>
  <c r="M184" i="9"/>
  <c r="M195" i="9" s="1"/>
  <c r="L184" i="9"/>
  <c r="L195" i="9" s="1"/>
  <c r="K184" i="9"/>
  <c r="K195" i="9" s="1"/>
  <c r="J184" i="9"/>
  <c r="J195" i="9" s="1"/>
  <c r="I184" i="9"/>
  <c r="I195" i="9" s="1"/>
  <c r="H184" i="9"/>
  <c r="H195" i="9" s="1"/>
  <c r="T179" i="9"/>
  <c r="S179" i="9"/>
  <c r="Q179" i="9"/>
  <c r="P179" i="9"/>
  <c r="O179" i="9"/>
  <c r="N179" i="9"/>
  <c r="M179" i="9"/>
  <c r="L179" i="9"/>
  <c r="K179" i="9"/>
  <c r="J179" i="9"/>
  <c r="I179" i="9"/>
  <c r="U179" i="9" s="1"/>
  <c r="H179" i="9"/>
  <c r="U178" i="9"/>
  <c r="T174" i="9"/>
  <c r="S174" i="9"/>
  <c r="Q174" i="9"/>
  <c r="P174" i="9"/>
  <c r="O174" i="9"/>
  <c r="N174" i="9"/>
  <c r="M174" i="9"/>
  <c r="L174" i="9"/>
  <c r="K174" i="9"/>
  <c r="J174" i="9"/>
  <c r="I174" i="9"/>
  <c r="H174" i="9"/>
  <c r="U173" i="9"/>
  <c r="T169" i="9"/>
  <c r="S169" i="9"/>
  <c r="Q169" i="9"/>
  <c r="P169" i="9"/>
  <c r="O169" i="9"/>
  <c r="N169" i="9"/>
  <c r="M169" i="9"/>
  <c r="L169" i="9"/>
  <c r="K169" i="9"/>
  <c r="J169" i="9"/>
  <c r="I169" i="9"/>
  <c r="H169" i="9"/>
  <c r="U168" i="9"/>
  <c r="T164" i="9"/>
  <c r="S164" i="9"/>
  <c r="Q164" i="9"/>
  <c r="P164" i="9"/>
  <c r="O164" i="9"/>
  <c r="N164" i="9"/>
  <c r="M164" i="9"/>
  <c r="L164" i="9"/>
  <c r="K164" i="9"/>
  <c r="J164" i="9"/>
  <c r="I164" i="9"/>
  <c r="H164" i="9"/>
  <c r="T159" i="9"/>
  <c r="S159" i="9"/>
  <c r="Q159" i="9"/>
  <c r="P159" i="9"/>
  <c r="O159" i="9"/>
  <c r="N159" i="9"/>
  <c r="M159" i="9"/>
  <c r="L159" i="9"/>
  <c r="K159" i="9"/>
  <c r="J159" i="9"/>
  <c r="I159" i="9"/>
  <c r="H159" i="9"/>
  <c r="T157" i="9"/>
  <c r="S157" i="9"/>
  <c r="Q157" i="9"/>
  <c r="P157" i="9"/>
  <c r="O157" i="9"/>
  <c r="N157" i="9"/>
  <c r="M157" i="9"/>
  <c r="L157" i="9"/>
  <c r="K157" i="9"/>
  <c r="J157" i="9"/>
  <c r="I157" i="9"/>
  <c r="H157" i="9"/>
  <c r="T155" i="9"/>
  <c r="S155" i="9"/>
  <c r="Q155" i="9"/>
  <c r="P155" i="9"/>
  <c r="O155" i="9"/>
  <c r="N155" i="9"/>
  <c r="M155" i="9"/>
  <c r="L155" i="9"/>
  <c r="K155" i="9"/>
  <c r="J155" i="9"/>
  <c r="I155" i="9"/>
  <c r="H155" i="9"/>
  <c r="T153" i="9"/>
  <c r="S153" i="9"/>
  <c r="Q153" i="9"/>
  <c r="P153" i="9"/>
  <c r="O153" i="9"/>
  <c r="N153" i="9"/>
  <c r="M153" i="9"/>
  <c r="L153" i="9"/>
  <c r="K153" i="9"/>
  <c r="J153" i="9"/>
  <c r="I153" i="9"/>
  <c r="H153" i="9"/>
  <c r="Q151" i="9"/>
  <c r="P151" i="9"/>
  <c r="O151" i="9"/>
  <c r="N151" i="9"/>
  <c r="M151" i="9"/>
  <c r="L151" i="9"/>
  <c r="K151" i="9"/>
  <c r="K180" i="9" s="1"/>
  <c r="J151" i="9"/>
  <c r="I151" i="9"/>
  <c r="H151" i="9"/>
  <c r="T149" i="9"/>
  <c r="S149" i="9"/>
  <c r="Q149" i="9"/>
  <c r="Q180" i="9" s="1"/>
  <c r="P149" i="9"/>
  <c r="P180" i="9" s="1"/>
  <c r="O149" i="9"/>
  <c r="O180" i="9" s="1"/>
  <c r="N149" i="9"/>
  <c r="M149" i="9"/>
  <c r="M180" i="9" s="1"/>
  <c r="L149" i="9"/>
  <c r="L180" i="9" s="1"/>
  <c r="K149" i="9"/>
  <c r="J149" i="9"/>
  <c r="I149" i="9"/>
  <c r="I180" i="9" s="1"/>
  <c r="H149" i="9"/>
  <c r="H180" i="9" s="1"/>
  <c r="T147" i="9"/>
  <c r="S147" i="9"/>
  <c r="Q147" i="9"/>
  <c r="P147" i="9"/>
  <c r="O147" i="9"/>
  <c r="N147" i="9"/>
  <c r="M147" i="9"/>
  <c r="L147" i="9"/>
  <c r="K147" i="9"/>
  <c r="J147" i="9"/>
  <c r="I147" i="9"/>
  <c r="H147" i="9"/>
  <c r="T144" i="9"/>
  <c r="S144" i="9"/>
  <c r="Q144" i="9"/>
  <c r="P144" i="9"/>
  <c r="O144" i="9"/>
  <c r="N144" i="9"/>
  <c r="M144" i="9"/>
  <c r="L144" i="9"/>
  <c r="K144" i="9"/>
  <c r="J144" i="9"/>
  <c r="I144" i="9"/>
  <c r="H144" i="9"/>
  <c r="T140" i="9"/>
  <c r="S140" i="9"/>
  <c r="Q140" i="9"/>
  <c r="P140" i="9"/>
  <c r="O140" i="9"/>
  <c r="N140" i="9"/>
  <c r="M140" i="9"/>
  <c r="L140" i="9"/>
  <c r="K140" i="9"/>
  <c r="J140" i="9"/>
  <c r="I140" i="9"/>
  <c r="H140" i="9"/>
  <c r="T137" i="9"/>
  <c r="S137" i="9"/>
  <c r="Q137" i="9"/>
  <c r="P137" i="9"/>
  <c r="O137" i="9"/>
  <c r="N137" i="9"/>
  <c r="N180" i="9" s="1"/>
  <c r="M137" i="9"/>
  <c r="L137" i="9"/>
  <c r="K137" i="9"/>
  <c r="J137" i="9"/>
  <c r="J180" i="9" s="1"/>
  <c r="I137" i="9"/>
  <c r="H137" i="9"/>
  <c r="T133" i="9"/>
  <c r="S133" i="9"/>
  <c r="Q133" i="9"/>
  <c r="P133" i="9"/>
  <c r="O133" i="9"/>
  <c r="N133" i="9"/>
  <c r="M133" i="9"/>
  <c r="L133" i="9"/>
  <c r="J133" i="9"/>
  <c r="I133" i="9"/>
  <c r="H133" i="9"/>
  <c r="S131" i="9"/>
  <c r="Q131" i="9"/>
  <c r="P131" i="9"/>
  <c r="O131" i="9"/>
  <c r="N131" i="9"/>
  <c r="M131" i="9"/>
  <c r="L131" i="9"/>
  <c r="K131" i="9"/>
  <c r="J131" i="9"/>
  <c r="H131" i="9"/>
  <c r="T127" i="9"/>
  <c r="S127" i="9"/>
  <c r="Q127" i="9"/>
  <c r="P127" i="9"/>
  <c r="O127" i="9"/>
  <c r="N127" i="9"/>
  <c r="M127" i="9"/>
  <c r="L127" i="9"/>
  <c r="K127" i="9"/>
  <c r="J127" i="9"/>
  <c r="I127" i="9"/>
  <c r="H127" i="9"/>
  <c r="T123" i="9"/>
  <c r="S123" i="9"/>
  <c r="Q123" i="9"/>
  <c r="P123" i="9"/>
  <c r="O123" i="9"/>
  <c r="N123" i="9"/>
  <c r="M123" i="9"/>
  <c r="L123" i="9"/>
  <c r="K123" i="9"/>
  <c r="J123" i="9"/>
  <c r="I123" i="9"/>
  <c r="H123" i="9"/>
  <c r="T121" i="9"/>
  <c r="S121" i="9"/>
  <c r="Q121" i="9"/>
  <c r="P121" i="9"/>
  <c r="O121" i="9"/>
  <c r="N121" i="9"/>
  <c r="M121" i="9"/>
  <c r="L121" i="9"/>
  <c r="K121" i="9"/>
  <c r="J121" i="9"/>
  <c r="I121" i="9"/>
  <c r="H121" i="9"/>
  <c r="T119" i="9"/>
  <c r="S119" i="9"/>
  <c r="Q119" i="9"/>
  <c r="P119" i="9"/>
  <c r="O119" i="9"/>
  <c r="N119" i="9"/>
  <c r="M119" i="9"/>
  <c r="L119" i="9"/>
  <c r="K119" i="9"/>
  <c r="J119" i="9"/>
  <c r="I119" i="9"/>
  <c r="H119" i="9"/>
  <c r="T117" i="9"/>
  <c r="S117" i="9"/>
  <c r="Q117" i="9"/>
  <c r="P117" i="9"/>
  <c r="O117" i="9"/>
  <c r="N117" i="9"/>
  <c r="M117" i="9"/>
  <c r="L117" i="9"/>
  <c r="K117" i="9"/>
  <c r="J117" i="9"/>
  <c r="I117" i="9"/>
  <c r="H117" i="9"/>
  <c r="T115" i="9"/>
  <c r="S115" i="9"/>
  <c r="Q115" i="9"/>
  <c r="P115" i="9"/>
  <c r="O115" i="9"/>
  <c r="N115" i="9"/>
  <c r="M115" i="9"/>
  <c r="L115" i="9"/>
  <c r="K115" i="9"/>
  <c r="J115" i="9"/>
  <c r="I115" i="9"/>
  <c r="H115" i="9"/>
  <c r="T113" i="9"/>
  <c r="S113" i="9"/>
  <c r="Q113" i="9"/>
  <c r="P113" i="9"/>
  <c r="O113" i="9"/>
  <c r="N113" i="9"/>
  <c r="M113" i="9"/>
  <c r="L113" i="9"/>
  <c r="K113" i="9"/>
  <c r="J113" i="9"/>
  <c r="I113" i="9"/>
  <c r="H113" i="9"/>
  <c r="T111" i="9"/>
  <c r="S111" i="9"/>
  <c r="Q111" i="9"/>
  <c r="P111" i="9"/>
  <c r="O111" i="9"/>
  <c r="N111" i="9"/>
  <c r="M111" i="9"/>
  <c r="L111" i="9"/>
  <c r="K111" i="9"/>
  <c r="J111" i="9"/>
  <c r="I111" i="9"/>
  <c r="H111" i="9"/>
  <c r="T109" i="9"/>
  <c r="S109" i="9"/>
  <c r="Q109" i="9"/>
  <c r="P109" i="9"/>
  <c r="O109" i="9"/>
  <c r="N109" i="9"/>
  <c r="M109" i="9"/>
  <c r="L109" i="9"/>
  <c r="K109" i="9"/>
  <c r="J109" i="9"/>
  <c r="I109" i="9"/>
  <c r="H109" i="9"/>
  <c r="T107" i="9"/>
  <c r="S107" i="9"/>
  <c r="Q107" i="9"/>
  <c r="P107" i="9"/>
  <c r="O107" i="9"/>
  <c r="N107" i="9"/>
  <c r="M107" i="9"/>
  <c r="L107" i="9"/>
  <c r="K107" i="9"/>
  <c r="J107" i="9"/>
  <c r="I107" i="9"/>
  <c r="H107" i="9"/>
  <c r="T105" i="9"/>
  <c r="S105" i="9"/>
  <c r="Q105" i="9"/>
  <c r="P105" i="9"/>
  <c r="O105" i="9"/>
  <c r="N105" i="9"/>
  <c r="M105" i="9"/>
  <c r="L105" i="9"/>
  <c r="K105" i="9"/>
  <c r="J105" i="9"/>
  <c r="I105" i="9"/>
  <c r="H105" i="9"/>
  <c r="T103" i="9"/>
  <c r="S103" i="9"/>
  <c r="Q103" i="9"/>
  <c r="P103" i="9"/>
  <c r="O103" i="9"/>
  <c r="N103" i="9"/>
  <c r="M103" i="9"/>
  <c r="L103" i="9"/>
  <c r="K103" i="9"/>
  <c r="J103" i="9"/>
  <c r="I103" i="9"/>
  <c r="H103" i="9"/>
  <c r="T101" i="9"/>
  <c r="S101" i="9"/>
  <c r="Q101" i="9"/>
  <c r="P101" i="9"/>
  <c r="O101" i="9"/>
  <c r="N101" i="9"/>
  <c r="M101" i="9"/>
  <c r="L101" i="9"/>
  <c r="K101" i="9"/>
  <c r="J101" i="9"/>
  <c r="I101" i="9"/>
  <c r="H101" i="9"/>
  <c r="T99" i="9"/>
  <c r="S99" i="9"/>
  <c r="Q99" i="9"/>
  <c r="P99" i="9"/>
  <c r="O99" i="9"/>
  <c r="N99" i="9"/>
  <c r="M99" i="9"/>
  <c r="L99" i="9"/>
  <c r="K99" i="9"/>
  <c r="J99" i="9"/>
  <c r="I99" i="9"/>
  <c r="H99" i="9"/>
  <c r="T97" i="9"/>
  <c r="S97" i="9"/>
  <c r="Q97" i="9"/>
  <c r="P97" i="9"/>
  <c r="O97" i="9"/>
  <c r="N97" i="9"/>
  <c r="M97" i="9"/>
  <c r="L97" i="9"/>
  <c r="K97" i="9"/>
  <c r="J97" i="9"/>
  <c r="I97" i="9"/>
  <c r="H97" i="9"/>
  <c r="T95" i="9"/>
  <c r="S95" i="9"/>
  <c r="Q95" i="9"/>
  <c r="P95" i="9"/>
  <c r="O95" i="9"/>
  <c r="N95" i="9"/>
  <c r="M95" i="9"/>
  <c r="L95" i="9"/>
  <c r="K95" i="9"/>
  <c r="J95" i="9"/>
  <c r="I95" i="9"/>
  <c r="H95" i="9"/>
  <c r="T93" i="9"/>
  <c r="S93" i="9"/>
  <c r="Q93" i="9"/>
  <c r="P93" i="9"/>
  <c r="O93" i="9"/>
  <c r="N93" i="9"/>
  <c r="M93" i="9"/>
  <c r="L93" i="9"/>
  <c r="K93" i="9"/>
  <c r="J93" i="9"/>
  <c r="I93" i="9"/>
  <c r="H93" i="9"/>
  <c r="T91" i="9"/>
  <c r="S91" i="9"/>
  <c r="Q91" i="9"/>
  <c r="P91" i="9"/>
  <c r="O91" i="9"/>
  <c r="N91" i="9"/>
  <c r="M91" i="9"/>
  <c r="L91" i="9"/>
  <c r="K91" i="9"/>
  <c r="J91" i="9"/>
  <c r="I91" i="9"/>
  <c r="H91" i="9"/>
  <c r="T89" i="9"/>
  <c r="S89" i="9"/>
  <c r="Q89" i="9"/>
  <c r="P89" i="9"/>
  <c r="O89" i="9"/>
  <c r="N89" i="9"/>
  <c r="M89" i="9"/>
  <c r="L89" i="9"/>
  <c r="K89" i="9"/>
  <c r="J89" i="9"/>
  <c r="I89" i="9"/>
  <c r="H89" i="9"/>
  <c r="T87" i="9"/>
  <c r="S87" i="9"/>
  <c r="Q87" i="9"/>
  <c r="P87" i="9"/>
  <c r="O87" i="9"/>
  <c r="N87" i="9"/>
  <c r="M87" i="9"/>
  <c r="L87" i="9"/>
  <c r="K87" i="9"/>
  <c r="J87" i="9"/>
  <c r="I87" i="9"/>
  <c r="H87" i="9"/>
  <c r="T85" i="9"/>
  <c r="S85" i="9"/>
  <c r="Q85" i="9"/>
  <c r="Q134" i="9" s="1"/>
  <c r="P85" i="9"/>
  <c r="P134" i="9" s="1"/>
  <c r="O85" i="9"/>
  <c r="O134" i="9" s="1"/>
  <c r="N85" i="9"/>
  <c r="N134" i="9" s="1"/>
  <c r="M85" i="9"/>
  <c r="M134" i="9" s="1"/>
  <c r="L85" i="9"/>
  <c r="L134" i="9" s="1"/>
  <c r="K85" i="9"/>
  <c r="K134" i="9" s="1"/>
  <c r="J85" i="9"/>
  <c r="J134" i="9" s="1"/>
  <c r="I85" i="9"/>
  <c r="I134" i="9" s="1"/>
  <c r="H85" i="9"/>
  <c r="H134" i="9" s="1"/>
  <c r="T81" i="9"/>
  <c r="S81" i="9"/>
  <c r="Q81" i="9"/>
  <c r="P81" i="9"/>
  <c r="O81" i="9"/>
  <c r="N81" i="9"/>
  <c r="M81" i="9"/>
  <c r="L81" i="9"/>
  <c r="K81" i="9"/>
  <c r="J81" i="9"/>
  <c r="I81" i="9"/>
  <c r="H81" i="9"/>
  <c r="T79" i="9"/>
  <c r="S79" i="9"/>
  <c r="Q79" i="9"/>
  <c r="P79" i="9"/>
  <c r="O79" i="9"/>
  <c r="N79" i="9"/>
  <c r="M79" i="9"/>
  <c r="L79" i="9"/>
  <c r="K79" i="9"/>
  <c r="J79" i="9"/>
  <c r="I79" i="9"/>
  <c r="H79" i="9"/>
  <c r="T77" i="9"/>
  <c r="S77" i="9"/>
  <c r="Q77" i="9"/>
  <c r="P77" i="9"/>
  <c r="O77" i="9"/>
  <c r="N77" i="9"/>
  <c r="M77" i="9"/>
  <c r="L77" i="9"/>
  <c r="K77" i="9"/>
  <c r="J77" i="9"/>
  <c r="I77" i="9"/>
  <c r="H77" i="9"/>
  <c r="T75" i="9"/>
  <c r="S75" i="9"/>
  <c r="Q75" i="9"/>
  <c r="P75" i="9"/>
  <c r="O75" i="9"/>
  <c r="N75" i="9"/>
  <c r="M75" i="9"/>
  <c r="L75" i="9"/>
  <c r="K75" i="9"/>
  <c r="J75" i="9"/>
  <c r="I75" i="9"/>
  <c r="H75" i="9"/>
  <c r="T73" i="9"/>
  <c r="S73" i="9"/>
  <c r="Q73" i="9"/>
  <c r="P73" i="9"/>
  <c r="O73" i="9"/>
  <c r="N73" i="9"/>
  <c r="M73" i="9"/>
  <c r="L73" i="9"/>
  <c r="K73" i="9"/>
  <c r="J73" i="9"/>
  <c r="I73" i="9"/>
  <c r="H73" i="9"/>
  <c r="T71" i="9"/>
  <c r="S71" i="9"/>
  <c r="Q71" i="9"/>
  <c r="P71" i="9"/>
  <c r="O71" i="9"/>
  <c r="N71" i="9"/>
  <c r="M71" i="9"/>
  <c r="L71" i="9"/>
  <c r="K71" i="9"/>
  <c r="J71" i="9"/>
  <c r="I71" i="9"/>
  <c r="H71" i="9"/>
  <c r="T69" i="9"/>
  <c r="S69" i="9"/>
  <c r="Q69" i="9"/>
  <c r="P69" i="9"/>
  <c r="O69" i="9"/>
  <c r="N69" i="9"/>
  <c r="M69" i="9"/>
  <c r="L69" i="9"/>
  <c r="K69" i="9"/>
  <c r="J69" i="9"/>
  <c r="I69" i="9"/>
  <c r="H69" i="9"/>
  <c r="T67" i="9"/>
  <c r="S67" i="9"/>
  <c r="Q67" i="9"/>
  <c r="P67" i="9"/>
  <c r="O67" i="9"/>
  <c r="N67" i="9"/>
  <c r="M67" i="9"/>
  <c r="L67" i="9"/>
  <c r="K67" i="9"/>
  <c r="J67" i="9"/>
  <c r="I67" i="9"/>
  <c r="H67" i="9"/>
  <c r="T65" i="9"/>
  <c r="S65" i="9"/>
  <c r="Q65" i="9"/>
  <c r="P65" i="9"/>
  <c r="O65" i="9"/>
  <c r="N65" i="9"/>
  <c r="M65" i="9"/>
  <c r="L65" i="9"/>
  <c r="K65" i="9"/>
  <c r="J65" i="9"/>
  <c r="I65" i="9"/>
  <c r="H65" i="9"/>
  <c r="T63" i="9"/>
  <c r="S63" i="9"/>
  <c r="Q63" i="9"/>
  <c r="P63" i="9"/>
  <c r="O63" i="9"/>
  <c r="N63" i="9"/>
  <c r="M63" i="9"/>
  <c r="L63" i="9"/>
  <c r="K63" i="9"/>
  <c r="J63" i="9"/>
  <c r="I63" i="9"/>
  <c r="H63" i="9"/>
  <c r="T61" i="9"/>
  <c r="S61" i="9"/>
  <c r="Q61" i="9"/>
  <c r="P61" i="9"/>
  <c r="O61" i="9"/>
  <c r="N61" i="9"/>
  <c r="M61" i="9"/>
  <c r="L61" i="9"/>
  <c r="K61" i="9"/>
  <c r="J61" i="9"/>
  <c r="I61" i="9"/>
  <c r="H61" i="9"/>
  <c r="T58" i="9"/>
  <c r="S58" i="9"/>
  <c r="Q58" i="9"/>
  <c r="P58" i="9"/>
  <c r="O58" i="9"/>
  <c r="N58" i="9"/>
  <c r="M58" i="9"/>
  <c r="L58" i="9"/>
  <c r="K58" i="9"/>
  <c r="J58" i="9"/>
  <c r="I58" i="9"/>
  <c r="H58" i="9"/>
  <c r="T55" i="9"/>
  <c r="S55" i="9"/>
  <c r="Q55" i="9"/>
  <c r="P55" i="9"/>
  <c r="O55" i="9"/>
  <c r="N55" i="9"/>
  <c r="M55" i="9"/>
  <c r="L55" i="9"/>
  <c r="K55" i="9"/>
  <c r="J55" i="9"/>
  <c r="I55" i="9"/>
  <c r="H55" i="9"/>
  <c r="T53" i="9"/>
  <c r="S53" i="9"/>
  <c r="Q53" i="9"/>
  <c r="P53" i="9"/>
  <c r="O53" i="9"/>
  <c r="N53" i="9"/>
  <c r="M53" i="9"/>
  <c r="L53" i="9"/>
  <c r="K53" i="9"/>
  <c r="J53" i="9"/>
  <c r="I53" i="9"/>
  <c r="H53" i="9"/>
  <c r="T51" i="9"/>
  <c r="S51" i="9"/>
  <c r="Q51" i="9"/>
  <c r="P51" i="9"/>
  <c r="O51" i="9"/>
  <c r="N51" i="9"/>
  <c r="M51" i="9"/>
  <c r="L51" i="9"/>
  <c r="K51" i="9"/>
  <c r="J51" i="9"/>
  <c r="I51" i="9"/>
  <c r="H51" i="9"/>
  <c r="T49" i="9"/>
  <c r="S49" i="9"/>
  <c r="Q49" i="9"/>
  <c r="P49" i="9"/>
  <c r="O49" i="9"/>
  <c r="N49" i="9"/>
  <c r="M49" i="9"/>
  <c r="L49" i="9"/>
  <c r="K49" i="9"/>
  <c r="J49" i="9"/>
  <c r="I49" i="9"/>
  <c r="H49" i="9"/>
  <c r="T46" i="9"/>
  <c r="S46" i="9"/>
  <c r="Q46" i="9"/>
  <c r="P46" i="9"/>
  <c r="O46" i="9"/>
  <c r="N46" i="9"/>
  <c r="M46" i="9"/>
  <c r="L46" i="9"/>
  <c r="K46" i="9"/>
  <c r="J46" i="9"/>
  <c r="I46" i="9"/>
  <c r="H46" i="9"/>
  <c r="T44" i="9"/>
  <c r="S44" i="9"/>
  <c r="Q44" i="9"/>
  <c r="P44" i="9"/>
  <c r="O44" i="9"/>
  <c r="N44" i="9"/>
  <c r="M44" i="9"/>
  <c r="L44" i="9"/>
  <c r="K44" i="9"/>
  <c r="J44" i="9"/>
  <c r="I44" i="9"/>
  <c r="H44" i="9"/>
  <c r="T42" i="9"/>
  <c r="S42" i="9"/>
  <c r="Q42" i="9"/>
  <c r="P42" i="9"/>
  <c r="O42" i="9"/>
  <c r="N42" i="9"/>
  <c r="M42" i="9"/>
  <c r="L42" i="9"/>
  <c r="K42" i="9"/>
  <c r="J42" i="9"/>
  <c r="I42" i="9"/>
  <c r="H42" i="9"/>
  <c r="U41" i="9"/>
  <c r="T40" i="9"/>
  <c r="S40" i="9"/>
  <c r="Q40" i="9"/>
  <c r="P40" i="9"/>
  <c r="O40" i="9"/>
  <c r="N40" i="9"/>
  <c r="M40" i="9"/>
  <c r="L40" i="9"/>
  <c r="K40" i="9"/>
  <c r="J40" i="9"/>
  <c r="I40" i="9"/>
  <c r="H40" i="9"/>
  <c r="U39" i="9"/>
  <c r="T38" i="9"/>
  <c r="S38" i="9"/>
  <c r="Q38" i="9"/>
  <c r="P38" i="9"/>
  <c r="O38" i="9"/>
  <c r="N38" i="9"/>
  <c r="M38" i="9"/>
  <c r="L38" i="9"/>
  <c r="K38" i="9"/>
  <c r="J38" i="9"/>
  <c r="I38" i="9"/>
  <c r="H38" i="9"/>
  <c r="U37" i="9"/>
  <c r="T36" i="9"/>
  <c r="S36" i="9"/>
  <c r="Q36" i="9"/>
  <c r="P36" i="9"/>
  <c r="O36" i="9"/>
  <c r="N36" i="9"/>
  <c r="M36" i="9"/>
  <c r="L36" i="9"/>
  <c r="K36" i="9"/>
  <c r="J36" i="9"/>
  <c r="I36" i="9"/>
  <c r="H36" i="9"/>
  <c r="U35" i="9"/>
  <c r="T34" i="9"/>
  <c r="S34" i="9"/>
  <c r="Q34" i="9"/>
  <c r="P34" i="9"/>
  <c r="O34" i="9"/>
  <c r="N34" i="9"/>
  <c r="M34" i="9"/>
  <c r="L34" i="9"/>
  <c r="K34" i="9"/>
  <c r="J34" i="9"/>
  <c r="I34" i="9"/>
  <c r="H34" i="9"/>
  <c r="U33" i="9"/>
  <c r="T32" i="9"/>
  <c r="S32" i="9"/>
  <c r="Q32" i="9"/>
  <c r="P32" i="9"/>
  <c r="O32" i="9"/>
  <c r="N32" i="9"/>
  <c r="M32" i="9"/>
  <c r="L32" i="9"/>
  <c r="K32" i="9"/>
  <c r="J32" i="9"/>
  <c r="I32" i="9"/>
  <c r="H32" i="9"/>
  <c r="U31" i="9"/>
  <c r="T30" i="9"/>
  <c r="S30" i="9"/>
  <c r="Q30" i="9"/>
  <c r="P30" i="9"/>
  <c r="O30" i="9"/>
  <c r="N30" i="9"/>
  <c r="M30" i="9"/>
  <c r="L30" i="9"/>
  <c r="K30" i="9"/>
  <c r="J30" i="9"/>
  <c r="I30" i="9"/>
  <c r="H30" i="9"/>
  <c r="U29" i="9"/>
  <c r="T28" i="9"/>
  <c r="S28" i="9"/>
  <c r="Q28" i="9"/>
  <c r="P28" i="9"/>
  <c r="O28" i="9"/>
  <c r="N28" i="9"/>
  <c r="M28" i="9"/>
  <c r="L28" i="9"/>
  <c r="K28" i="9"/>
  <c r="J28" i="9"/>
  <c r="I28" i="9"/>
  <c r="H28" i="9"/>
  <c r="U27" i="9"/>
  <c r="T26" i="9"/>
  <c r="S26" i="9"/>
  <c r="Q26" i="9"/>
  <c r="P26" i="9"/>
  <c r="O26" i="9"/>
  <c r="N26" i="9"/>
  <c r="M26" i="9"/>
  <c r="L26" i="9"/>
  <c r="K26" i="9"/>
  <c r="J26" i="9"/>
  <c r="I26" i="9"/>
  <c r="H26" i="9"/>
  <c r="U25" i="9"/>
  <c r="T24" i="9"/>
  <c r="S24" i="9"/>
  <c r="Q24" i="9"/>
  <c r="P24" i="9"/>
  <c r="O24" i="9"/>
  <c r="N24" i="9"/>
  <c r="M24" i="9"/>
  <c r="L24" i="9"/>
  <c r="K24" i="9"/>
  <c r="J24" i="9"/>
  <c r="I24" i="9"/>
  <c r="H24" i="9"/>
  <c r="T22" i="9"/>
  <c r="S22" i="9"/>
  <c r="Q22" i="9"/>
  <c r="P22" i="9"/>
  <c r="O22" i="9"/>
  <c r="N22" i="9"/>
  <c r="M22" i="9"/>
  <c r="L22" i="9"/>
  <c r="K22" i="9"/>
  <c r="J22" i="9"/>
  <c r="I22" i="9"/>
  <c r="H22" i="9"/>
  <c r="T20" i="9"/>
  <c r="S20" i="9"/>
  <c r="Q20" i="9"/>
  <c r="P20" i="9"/>
  <c r="O20" i="9"/>
  <c r="N20" i="9"/>
  <c r="M20" i="9"/>
  <c r="L20" i="9"/>
  <c r="K20" i="9"/>
  <c r="J20" i="9"/>
  <c r="I20" i="9"/>
  <c r="H20" i="9"/>
  <c r="T18" i="9"/>
  <c r="S18" i="9"/>
  <c r="Q18" i="9"/>
  <c r="P18" i="9"/>
  <c r="O18" i="9"/>
  <c r="N18" i="9"/>
  <c r="M18" i="9"/>
  <c r="L18" i="9"/>
  <c r="K18" i="9"/>
  <c r="J18" i="9"/>
  <c r="I18" i="9"/>
  <c r="H18" i="9"/>
  <c r="T16" i="9"/>
  <c r="S16" i="9"/>
  <c r="Q16" i="9"/>
  <c r="Q82" i="9" s="1"/>
  <c r="P16" i="9"/>
  <c r="P82" i="9" s="1"/>
  <c r="P196" i="9" s="1"/>
  <c r="P197" i="9" s="1"/>
  <c r="O16" i="9"/>
  <c r="O82" i="9" s="1"/>
  <c r="N16" i="9"/>
  <c r="N82" i="9" s="1"/>
  <c r="N196" i="9" s="1"/>
  <c r="N197" i="9" s="1"/>
  <c r="M16" i="9"/>
  <c r="M82" i="9" s="1"/>
  <c r="L16" i="9"/>
  <c r="L82" i="9" s="1"/>
  <c r="L196" i="9" s="1"/>
  <c r="L197" i="9" s="1"/>
  <c r="K16" i="9"/>
  <c r="K82" i="9" s="1"/>
  <c r="J16" i="9"/>
  <c r="J82" i="9" s="1"/>
  <c r="J196" i="9" s="1"/>
  <c r="J197" i="9" s="1"/>
  <c r="I16" i="9"/>
  <c r="I82" i="9" s="1"/>
  <c r="H16" i="9"/>
  <c r="H82" i="9" s="1"/>
  <c r="H196" i="9" s="1"/>
  <c r="H197" i="9" s="1"/>
  <c r="K196" i="9" l="1"/>
  <c r="K197" i="9" s="1"/>
  <c r="O196" i="9"/>
  <c r="O197" i="9" s="1"/>
  <c r="I196" i="9"/>
  <c r="I197" i="9" s="1"/>
  <c r="M196" i="9"/>
  <c r="M197" i="9" s="1"/>
  <c r="Q196" i="9"/>
  <c r="Q197" i="9" s="1"/>
  <c r="R254" i="6"/>
  <c r="Q254" i="6"/>
  <c r="P254" i="6"/>
  <c r="O254" i="6"/>
  <c r="N254" i="6"/>
  <c r="M254" i="6"/>
  <c r="L254" i="6"/>
  <c r="K254" i="6"/>
  <c r="J254" i="6"/>
  <c r="I254" i="6"/>
  <c r="R253" i="6"/>
  <c r="Q253" i="6"/>
  <c r="P253" i="6"/>
  <c r="O253" i="6"/>
  <c r="N253" i="6"/>
  <c r="L253" i="6"/>
  <c r="K253" i="6"/>
  <c r="J253" i="6"/>
  <c r="Q252" i="6"/>
  <c r="M252" i="6"/>
  <c r="O251" i="6"/>
  <c r="K251" i="6"/>
  <c r="Q250" i="6"/>
  <c r="O249" i="6"/>
  <c r="K249" i="6"/>
  <c r="R248" i="6"/>
  <c r="Q248" i="6"/>
  <c r="P248" i="6"/>
  <c r="O248" i="6"/>
  <c r="N248" i="6"/>
  <c r="M248" i="6"/>
  <c r="L248" i="6"/>
  <c r="K248" i="6"/>
  <c r="J248" i="6"/>
  <c r="O245" i="6"/>
  <c r="K245" i="6"/>
  <c r="U236" i="6"/>
  <c r="T236" i="6"/>
  <c r="R236" i="6"/>
  <c r="Q236" i="6"/>
  <c r="P236" i="6"/>
  <c r="O236" i="6"/>
  <c r="N236" i="6"/>
  <c r="M236" i="6"/>
  <c r="L236" i="6"/>
  <c r="K236" i="6"/>
  <c r="J236" i="6"/>
  <c r="I236" i="6"/>
  <c r="M235" i="6"/>
  <c r="I235" i="6"/>
  <c r="R234" i="6"/>
  <c r="Q234" i="6"/>
  <c r="P234" i="6"/>
  <c r="O234" i="6"/>
  <c r="N234" i="6"/>
  <c r="M234" i="6"/>
  <c r="L234" i="6"/>
  <c r="K234" i="6"/>
  <c r="J234" i="6"/>
  <c r="I234" i="6"/>
  <c r="M233" i="6"/>
  <c r="I233" i="6"/>
  <c r="U232" i="6"/>
  <c r="T232" i="6"/>
  <c r="R232" i="6"/>
  <c r="Q232" i="6"/>
  <c r="P232" i="6"/>
  <c r="O232" i="6"/>
  <c r="N232" i="6"/>
  <c r="M232" i="6"/>
  <c r="L232" i="6"/>
  <c r="K232" i="6"/>
  <c r="J232" i="6"/>
  <c r="M231" i="6"/>
  <c r="I231" i="6"/>
  <c r="M230" i="6"/>
  <c r="I230" i="6"/>
  <c r="I232" i="6" s="1"/>
  <c r="U229" i="6"/>
  <c r="T229" i="6"/>
  <c r="R229" i="6"/>
  <c r="Q229" i="6"/>
  <c r="P229" i="6"/>
  <c r="O229" i="6"/>
  <c r="N229" i="6"/>
  <c r="M229" i="6"/>
  <c r="L229" i="6"/>
  <c r="K229" i="6"/>
  <c r="J229" i="6"/>
  <c r="M228" i="6"/>
  <c r="I228" i="6"/>
  <c r="M227" i="6"/>
  <c r="I227" i="6"/>
  <c r="I229" i="6" s="1"/>
  <c r="U226" i="6"/>
  <c r="T226" i="6"/>
  <c r="R226" i="6"/>
  <c r="Q226" i="6"/>
  <c r="P226" i="6"/>
  <c r="O226" i="6"/>
  <c r="N226" i="6"/>
  <c r="M226" i="6"/>
  <c r="L226" i="6"/>
  <c r="K226" i="6"/>
  <c r="J226" i="6"/>
  <c r="M225" i="6"/>
  <c r="I225" i="6"/>
  <c r="I252" i="6" s="1"/>
  <c r="M224" i="6"/>
  <c r="I224" i="6"/>
  <c r="M223" i="6"/>
  <c r="I223" i="6"/>
  <c r="M222" i="6"/>
  <c r="I222" i="6"/>
  <c r="M221" i="6"/>
  <c r="I221" i="6"/>
  <c r="I248" i="6" s="1"/>
  <c r="M220" i="6"/>
  <c r="I220" i="6"/>
  <c r="M219" i="6"/>
  <c r="I219" i="6"/>
  <c r="I226" i="6" s="1"/>
  <c r="U218" i="6"/>
  <c r="T218" i="6"/>
  <c r="R218" i="6"/>
  <c r="Q218" i="6"/>
  <c r="P218" i="6"/>
  <c r="O218" i="6"/>
  <c r="N218" i="6"/>
  <c r="M218" i="6"/>
  <c r="L218" i="6"/>
  <c r="K218" i="6"/>
  <c r="J218" i="6"/>
  <c r="I218" i="6"/>
  <c r="M217" i="6"/>
  <c r="I217" i="6"/>
  <c r="U216" i="6"/>
  <c r="T216" i="6"/>
  <c r="R216" i="6"/>
  <c r="Q216" i="6"/>
  <c r="P216" i="6"/>
  <c r="O216" i="6"/>
  <c r="L216" i="6"/>
  <c r="K216" i="6"/>
  <c r="J216" i="6"/>
  <c r="M215" i="6"/>
  <c r="M216" i="6" s="1"/>
  <c r="I215" i="6"/>
  <c r="I216" i="6" s="1"/>
  <c r="U214" i="6"/>
  <c r="T214" i="6"/>
  <c r="R214" i="6"/>
  <c r="Q214" i="6"/>
  <c r="P214" i="6"/>
  <c r="O214" i="6"/>
  <c r="M214" i="6"/>
  <c r="L214" i="6"/>
  <c r="K214" i="6"/>
  <c r="J214" i="6"/>
  <c r="M213" i="6"/>
  <c r="I213" i="6"/>
  <c r="I214" i="6" s="1"/>
  <c r="U212" i="6"/>
  <c r="T212" i="6"/>
  <c r="R212" i="6"/>
  <c r="Q212" i="6"/>
  <c r="P212" i="6"/>
  <c r="O212" i="6"/>
  <c r="N212" i="6"/>
  <c r="M212" i="6"/>
  <c r="L212" i="6"/>
  <c r="K212" i="6"/>
  <c r="J212" i="6"/>
  <c r="I212" i="6"/>
  <c r="M211" i="6"/>
  <c r="I211" i="6"/>
  <c r="U210" i="6"/>
  <c r="T210" i="6"/>
  <c r="R210" i="6"/>
  <c r="Q210" i="6"/>
  <c r="P210" i="6"/>
  <c r="O210" i="6"/>
  <c r="N210" i="6"/>
  <c r="M210" i="6"/>
  <c r="L210" i="6"/>
  <c r="K210" i="6"/>
  <c r="J210" i="6"/>
  <c r="M209" i="6"/>
  <c r="I209" i="6"/>
  <c r="I210" i="6" s="1"/>
  <c r="U208" i="6"/>
  <c r="T208" i="6"/>
  <c r="R208" i="6"/>
  <c r="Q208" i="6"/>
  <c r="P208" i="6"/>
  <c r="O208" i="6"/>
  <c r="N208" i="6"/>
  <c r="M208" i="6"/>
  <c r="L208" i="6"/>
  <c r="K208" i="6"/>
  <c r="J208" i="6"/>
  <c r="I208" i="6"/>
  <c r="M207" i="6"/>
  <c r="I207" i="6"/>
  <c r="U206" i="6"/>
  <c r="T206" i="6"/>
  <c r="R206" i="6"/>
  <c r="Q206" i="6"/>
  <c r="P206" i="6"/>
  <c r="O206" i="6"/>
  <c r="N206" i="6"/>
  <c r="M206" i="6"/>
  <c r="L206" i="6"/>
  <c r="K206" i="6"/>
  <c r="J206" i="6"/>
  <c r="M205" i="6"/>
  <c r="I205" i="6"/>
  <c r="I206" i="6" s="1"/>
  <c r="U204" i="6"/>
  <c r="T204" i="6"/>
  <c r="R204" i="6"/>
  <c r="Q204" i="6"/>
  <c r="P204" i="6"/>
  <c r="O204" i="6"/>
  <c r="N204" i="6"/>
  <c r="M204" i="6"/>
  <c r="L204" i="6"/>
  <c r="K204" i="6"/>
  <c r="J204" i="6"/>
  <c r="I204" i="6"/>
  <c r="M203" i="6"/>
  <c r="I203" i="6"/>
  <c r="U202" i="6"/>
  <c r="T202" i="6"/>
  <c r="R202" i="6"/>
  <c r="Q202" i="6"/>
  <c r="P202" i="6"/>
  <c r="O202" i="6"/>
  <c r="N202" i="6"/>
  <c r="M202" i="6"/>
  <c r="L202" i="6"/>
  <c r="K202" i="6"/>
  <c r="J202" i="6"/>
  <c r="M201" i="6"/>
  <c r="I201" i="6"/>
  <c r="I202" i="6" s="1"/>
  <c r="U200" i="6"/>
  <c r="T200" i="6"/>
  <c r="R200" i="6"/>
  <c r="Q200" i="6"/>
  <c r="P200" i="6"/>
  <c r="O200" i="6"/>
  <c r="N200" i="6"/>
  <c r="M200" i="6"/>
  <c r="L200" i="6"/>
  <c r="K200" i="6"/>
  <c r="J200" i="6"/>
  <c r="I200" i="6"/>
  <c r="I199" i="6"/>
  <c r="U198" i="6"/>
  <c r="T198" i="6"/>
  <c r="R198" i="6"/>
  <c r="Q198" i="6"/>
  <c r="P198" i="6"/>
  <c r="O198" i="6"/>
  <c r="N198" i="6"/>
  <c r="L198" i="6"/>
  <c r="K198" i="6"/>
  <c r="J198" i="6"/>
  <c r="I198" i="6"/>
  <c r="M197" i="6"/>
  <c r="M198" i="6" s="1"/>
  <c r="I197" i="6"/>
  <c r="U196" i="6"/>
  <c r="T196" i="6"/>
  <c r="R196" i="6"/>
  <c r="Q196" i="6"/>
  <c r="P196" i="6"/>
  <c r="O196" i="6"/>
  <c r="N196" i="6"/>
  <c r="L196" i="6"/>
  <c r="K196" i="6"/>
  <c r="J196" i="6"/>
  <c r="M195" i="6"/>
  <c r="M196" i="6" s="1"/>
  <c r="I195" i="6"/>
  <c r="I196" i="6" s="1"/>
  <c r="U194" i="6"/>
  <c r="T194" i="6"/>
  <c r="R194" i="6"/>
  <c r="Q194" i="6"/>
  <c r="P194" i="6"/>
  <c r="O194" i="6"/>
  <c r="N194" i="6"/>
  <c r="L194" i="6"/>
  <c r="K194" i="6"/>
  <c r="J194" i="6"/>
  <c r="I194" i="6"/>
  <c r="M193" i="6"/>
  <c r="M194" i="6" s="1"/>
  <c r="I193" i="6"/>
  <c r="U192" i="6"/>
  <c r="T192" i="6"/>
  <c r="R192" i="6"/>
  <c r="Q192" i="6"/>
  <c r="P192" i="6"/>
  <c r="O192" i="6"/>
  <c r="N192" i="6"/>
  <c r="L192" i="6"/>
  <c r="K192" i="6"/>
  <c r="J192" i="6"/>
  <c r="M191" i="6"/>
  <c r="M192" i="6" s="1"/>
  <c r="I191" i="6"/>
  <c r="I192" i="6" s="1"/>
  <c r="P190" i="6"/>
  <c r="O190" i="6"/>
  <c r="N190" i="6"/>
  <c r="J190" i="6"/>
  <c r="U189" i="6"/>
  <c r="U190" i="6" s="1"/>
  <c r="T189" i="6"/>
  <c r="T190" i="6" s="1"/>
  <c r="R189" i="6"/>
  <c r="R190" i="6" s="1"/>
  <c r="Q189" i="6"/>
  <c r="Q190" i="6" s="1"/>
  <c r="Q237" i="6" s="1"/>
  <c r="N189" i="6"/>
  <c r="L189" i="6"/>
  <c r="L190" i="6" s="1"/>
  <c r="K189" i="6"/>
  <c r="K190" i="6" s="1"/>
  <c r="J189" i="6"/>
  <c r="U188" i="6"/>
  <c r="T188" i="6"/>
  <c r="R188" i="6"/>
  <c r="R237" i="6" s="1"/>
  <c r="Q188" i="6"/>
  <c r="P188" i="6"/>
  <c r="P237" i="6" s="1"/>
  <c r="O188" i="6"/>
  <c r="O237" i="6" s="1"/>
  <c r="N188" i="6"/>
  <c r="N237" i="6" s="1"/>
  <c r="L188" i="6"/>
  <c r="K188" i="6"/>
  <c r="J188" i="6"/>
  <c r="J237" i="6" s="1"/>
  <c r="M187" i="6"/>
  <c r="M253" i="6" s="1"/>
  <c r="I187" i="6"/>
  <c r="I253" i="6" s="1"/>
  <c r="M186" i="6"/>
  <c r="I186" i="6"/>
  <c r="U185" i="6"/>
  <c r="T185" i="6"/>
  <c r="M185" i="6"/>
  <c r="I185" i="6"/>
  <c r="M184" i="6"/>
  <c r="I184" i="6"/>
  <c r="M183" i="6"/>
  <c r="I183" i="6"/>
  <c r="M182" i="6"/>
  <c r="M188" i="6" s="1"/>
  <c r="I182" i="6"/>
  <c r="I188" i="6" s="1"/>
  <c r="U179" i="6"/>
  <c r="T179" i="6"/>
  <c r="R179" i="6"/>
  <c r="Q179" i="6"/>
  <c r="P179" i="6"/>
  <c r="O179" i="6"/>
  <c r="N179" i="6"/>
  <c r="L179" i="6"/>
  <c r="K179" i="6"/>
  <c r="J179" i="6"/>
  <c r="M178" i="6"/>
  <c r="I178" i="6"/>
  <c r="M177" i="6"/>
  <c r="I177" i="6"/>
  <c r="M176" i="6"/>
  <c r="M179" i="6" s="1"/>
  <c r="I176" i="6"/>
  <c r="I179" i="6" s="1"/>
  <c r="U175" i="6"/>
  <c r="T175" i="6"/>
  <c r="R175" i="6"/>
  <c r="Q175" i="6"/>
  <c r="P175" i="6"/>
  <c r="O175" i="6"/>
  <c r="N175" i="6"/>
  <c r="L175" i="6"/>
  <c r="K175" i="6"/>
  <c r="J175" i="6"/>
  <c r="M174" i="6"/>
  <c r="I174" i="6"/>
  <c r="M173" i="6"/>
  <c r="I173" i="6"/>
  <c r="M172" i="6"/>
  <c r="M175" i="6" s="1"/>
  <c r="I172" i="6"/>
  <c r="I175" i="6" s="1"/>
  <c r="U171" i="6"/>
  <c r="T171" i="6"/>
  <c r="R171" i="6"/>
  <c r="Q171" i="6"/>
  <c r="P171" i="6"/>
  <c r="O171" i="6"/>
  <c r="N171" i="6"/>
  <c r="L171" i="6"/>
  <c r="K171" i="6"/>
  <c r="J171" i="6"/>
  <c r="M170" i="6"/>
  <c r="I170" i="6"/>
  <c r="M169" i="6"/>
  <c r="M171" i="6" s="1"/>
  <c r="I169" i="6"/>
  <c r="I171" i="6" s="1"/>
  <c r="U168" i="6"/>
  <c r="T168" i="6"/>
  <c r="R168" i="6"/>
  <c r="Q168" i="6"/>
  <c r="P168" i="6"/>
  <c r="O168" i="6"/>
  <c r="N168" i="6"/>
  <c r="L168" i="6"/>
  <c r="K168" i="6"/>
  <c r="J168" i="6"/>
  <c r="M167" i="6"/>
  <c r="I167" i="6"/>
  <c r="M166" i="6"/>
  <c r="I166" i="6"/>
  <c r="M165" i="6"/>
  <c r="I165" i="6"/>
  <c r="M164" i="6"/>
  <c r="I164" i="6"/>
  <c r="M163" i="6"/>
  <c r="M168" i="6" s="1"/>
  <c r="I163" i="6"/>
  <c r="I168" i="6" s="1"/>
  <c r="U162" i="6"/>
  <c r="T162" i="6"/>
  <c r="R162" i="6"/>
  <c r="Q162" i="6"/>
  <c r="P162" i="6"/>
  <c r="O162" i="6"/>
  <c r="N162" i="6"/>
  <c r="L162" i="6"/>
  <c r="K162" i="6"/>
  <c r="J162" i="6"/>
  <c r="M161" i="6"/>
  <c r="I161" i="6"/>
  <c r="M160" i="6"/>
  <c r="I160" i="6"/>
  <c r="M159" i="6"/>
  <c r="I159" i="6"/>
  <c r="M158" i="6"/>
  <c r="I158" i="6"/>
  <c r="M157" i="6"/>
  <c r="I157" i="6"/>
  <c r="M156" i="6"/>
  <c r="M162" i="6" s="1"/>
  <c r="I156" i="6"/>
  <c r="I162" i="6" s="1"/>
  <c r="U155" i="6"/>
  <c r="T155" i="6"/>
  <c r="R155" i="6"/>
  <c r="Q155" i="6"/>
  <c r="P155" i="6"/>
  <c r="O155" i="6"/>
  <c r="N155" i="6"/>
  <c r="L155" i="6"/>
  <c r="K155" i="6"/>
  <c r="J155" i="6"/>
  <c r="M154" i="6"/>
  <c r="I154" i="6"/>
  <c r="M153" i="6"/>
  <c r="I153" i="6"/>
  <c r="M152" i="6"/>
  <c r="I152" i="6"/>
  <c r="M151" i="6"/>
  <c r="I151" i="6"/>
  <c r="M150" i="6"/>
  <c r="I150" i="6"/>
  <c r="M149" i="6"/>
  <c r="M155" i="6" s="1"/>
  <c r="I149" i="6"/>
  <c r="I155" i="6" s="1"/>
  <c r="U148" i="6"/>
  <c r="T148" i="6"/>
  <c r="R148" i="6"/>
  <c r="Q148" i="6"/>
  <c r="P148" i="6"/>
  <c r="O148" i="6"/>
  <c r="N148" i="6"/>
  <c r="L148" i="6"/>
  <c r="K148" i="6"/>
  <c r="J148" i="6"/>
  <c r="M147" i="6"/>
  <c r="I147" i="6"/>
  <c r="M146" i="6"/>
  <c r="I146" i="6"/>
  <c r="M145" i="6"/>
  <c r="I145" i="6"/>
  <c r="M144" i="6"/>
  <c r="I144" i="6"/>
  <c r="M143" i="6"/>
  <c r="I143" i="6"/>
  <c r="M142" i="6"/>
  <c r="M148" i="6" s="1"/>
  <c r="I142" i="6"/>
  <c r="I148" i="6" s="1"/>
  <c r="U141" i="6"/>
  <c r="T141" i="6"/>
  <c r="R141" i="6"/>
  <c r="Q141" i="6"/>
  <c r="P141" i="6"/>
  <c r="O141" i="6"/>
  <c r="N141" i="6"/>
  <c r="L141" i="6"/>
  <c r="K141" i="6"/>
  <c r="J141" i="6"/>
  <c r="M140" i="6"/>
  <c r="I140" i="6"/>
  <c r="M139" i="6"/>
  <c r="I139" i="6"/>
  <c r="M138" i="6"/>
  <c r="I138" i="6"/>
  <c r="M137" i="6"/>
  <c r="I137" i="6"/>
  <c r="M136" i="6"/>
  <c r="I136" i="6"/>
  <c r="M135" i="6"/>
  <c r="M141" i="6" s="1"/>
  <c r="I135" i="6"/>
  <c r="I141" i="6" s="1"/>
  <c r="U134" i="6"/>
  <c r="T134" i="6"/>
  <c r="R134" i="6"/>
  <c r="Q134" i="6"/>
  <c r="P134" i="6"/>
  <c r="O134" i="6"/>
  <c r="N134" i="6"/>
  <c r="L134" i="6"/>
  <c r="K134" i="6"/>
  <c r="J134" i="6"/>
  <c r="M133" i="6"/>
  <c r="I133" i="6"/>
  <c r="M132" i="6"/>
  <c r="I132" i="6"/>
  <c r="M131" i="6"/>
  <c r="I131" i="6"/>
  <c r="M130" i="6"/>
  <c r="I130" i="6"/>
  <c r="M129" i="6"/>
  <c r="I129" i="6"/>
  <c r="M128" i="6"/>
  <c r="M134" i="6" s="1"/>
  <c r="I128" i="6"/>
  <c r="I134" i="6" s="1"/>
  <c r="U127" i="6"/>
  <c r="T127" i="6"/>
  <c r="R127" i="6"/>
  <c r="Q127" i="6"/>
  <c r="P127" i="6"/>
  <c r="O127" i="6"/>
  <c r="N127" i="6"/>
  <c r="L127" i="6"/>
  <c r="K127" i="6"/>
  <c r="J127" i="6"/>
  <c r="M126" i="6"/>
  <c r="I126" i="6"/>
  <c r="M125" i="6"/>
  <c r="I125" i="6"/>
  <c r="M124" i="6"/>
  <c r="I124" i="6"/>
  <c r="M123" i="6"/>
  <c r="I123" i="6"/>
  <c r="M122" i="6"/>
  <c r="I122" i="6"/>
  <c r="M121" i="6"/>
  <c r="M127" i="6" s="1"/>
  <c r="I121" i="6"/>
  <c r="I127" i="6" s="1"/>
  <c r="U120" i="6"/>
  <c r="T120" i="6"/>
  <c r="R120" i="6"/>
  <c r="Q120" i="6"/>
  <c r="P120" i="6"/>
  <c r="O120" i="6"/>
  <c r="N120" i="6"/>
  <c r="L120" i="6"/>
  <c r="K120" i="6"/>
  <c r="J120" i="6"/>
  <c r="M119" i="6"/>
  <c r="I119" i="6"/>
  <c r="M118" i="6"/>
  <c r="I118" i="6"/>
  <c r="M117" i="6"/>
  <c r="I117" i="6"/>
  <c r="M116" i="6"/>
  <c r="I116" i="6"/>
  <c r="M115" i="6"/>
  <c r="I115" i="6"/>
  <c r="M114" i="6"/>
  <c r="M120" i="6" s="1"/>
  <c r="I114" i="6"/>
  <c r="I120" i="6" s="1"/>
  <c r="U113" i="6"/>
  <c r="T113" i="6"/>
  <c r="R113" i="6"/>
  <c r="Q113" i="6"/>
  <c r="P113" i="6"/>
  <c r="O113" i="6"/>
  <c r="N113" i="6"/>
  <c r="L113" i="6"/>
  <c r="K113" i="6"/>
  <c r="J113" i="6"/>
  <c r="M112" i="6"/>
  <c r="M105" i="6" s="1"/>
  <c r="I112" i="6"/>
  <c r="M111" i="6"/>
  <c r="M104" i="6" s="1"/>
  <c r="I111" i="6"/>
  <c r="M110" i="6"/>
  <c r="I110" i="6"/>
  <c r="M109" i="6"/>
  <c r="M102" i="6" s="1"/>
  <c r="I109" i="6"/>
  <c r="M108" i="6"/>
  <c r="I108" i="6"/>
  <c r="M107" i="6"/>
  <c r="M113" i="6" s="1"/>
  <c r="I107" i="6"/>
  <c r="I113" i="6" s="1"/>
  <c r="R105" i="6"/>
  <c r="Q105" i="6"/>
  <c r="P105" i="6"/>
  <c r="O105" i="6"/>
  <c r="N105" i="6"/>
  <c r="L105" i="6"/>
  <c r="K105" i="6"/>
  <c r="J105" i="6"/>
  <c r="J251" i="6" s="1"/>
  <c r="R104" i="6"/>
  <c r="R250" i="6" s="1"/>
  <c r="Q104" i="6"/>
  <c r="P104" i="6"/>
  <c r="O104" i="6"/>
  <c r="N104" i="6"/>
  <c r="L104" i="6"/>
  <c r="K104" i="6"/>
  <c r="J104" i="6"/>
  <c r="I104" i="6"/>
  <c r="R103" i="6"/>
  <c r="Q103" i="6"/>
  <c r="P103" i="6"/>
  <c r="O103" i="6"/>
  <c r="N103" i="6"/>
  <c r="M103" i="6"/>
  <c r="L103" i="6"/>
  <c r="K103" i="6"/>
  <c r="J103" i="6"/>
  <c r="I103" i="6"/>
  <c r="R102" i="6"/>
  <c r="R106" i="6" s="1"/>
  <c r="Q102" i="6"/>
  <c r="P102" i="6"/>
  <c r="O102" i="6"/>
  <c r="N102" i="6"/>
  <c r="N106" i="6" s="1"/>
  <c r="L102" i="6"/>
  <c r="K102" i="6"/>
  <c r="J102" i="6"/>
  <c r="J106" i="6" s="1"/>
  <c r="I102" i="6"/>
  <c r="R101" i="6"/>
  <c r="Q101" i="6"/>
  <c r="P101" i="6"/>
  <c r="O101" i="6"/>
  <c r="N101" i="6"/>
  <c r="M101" i="6"/>
  <c r="L101" i="6"/>
  <c r="K101" i="6"/>
  <c r="J101" i="6"/>
  <c r="I101" i="6" s="1"/>
  <c r="U100" i="6"/>
  <c r="U106" i="6" s="1"/>
  <c r="T100" i="6"/>
  <c r="T106" i="6" s="1"/>
  <c r="R100" i="6"/>
  <c r="Q100" i="6"/>
  <c r="Q106" i="6" s="1"/>
  <c r="P100" i="6"/>
  <c r="P106" i="6" s="1"/>
  <c r="O100" i="6"/>
  <c r="O106" i="6" s="1"/>
  <c r="N100" i="6"/>
  <c r="L100" i="6"/>
  <c r="L106" i="6" s="1"/>
  <c r="K100" i="6"/>
  <c r="K106" i="6" s="1"/>
  <c r="J100" i="6"/>
  <c r="I100" i="6"/>
  <c r="U99" i="6"/>
  <c r="T99" i="6"/>
  <c r="R99" i="6"/>
  <c r="Q99" i="6"/>
  <c r="P99" i="6"/>
  <c r="O99" i="6"/>
  <c r="N99" i="6"/>
  <c r="L99" i="6"/>
  <c r="K99" i="6"/>
  <c r="J99" i="6"/>
  <c r="M98" i="6"/>
  <c r="I98" i="6"/>
  <c r="M97" i="6"/>
  <c r="I97" i="6"/>
  <c r="M96" i="6"/>
  <c r="I96" i="6"/>
  <c r="M95" i="6"/>
  <c r="I95" i="6"/>
  <c r="M94" i="6"/>
  <c r="I94" i="6"/>
  <c r="M93" i="6"/>
  <c r="M99" i="6" s="1"/>
  <c r="I93" i="6"/>
  <c r="I99" i="6" s="1"/>
  <c r="U92" i="6"/>
  <c r="T92" i="6"/>
  <c r="R92" i="6"/>
  <c r="Q92" i="6"/>
  <c r="P92" i="6"/>
  <c r="O92" i="6"/>
  <c r="N92" i="6"/>
  <c r="L92" i="6"/>
  <c r="K92" i="6"/>
  <c r="J92" i="6"/>
  <c r="M91" i="6"/>
  <c r="I91" i="6"/>
  <c r="M90" i="6"/>
  <c r="I90" i="6"/>
  <c r="M89" i="6"/>
  <c r="I89" i="6"/>
  <c r="M88" i="6"/>
  <c r="I88" i="6"/>
  <c r="M87" i="6"/>
  <c r="M92" i="6" s="1"/>
  <c r="I87" i="6"/>
  <c r="I92" i="6" s="1"/>
  <c r="U86" i="6"/>
  <c r="T86" i="6"/>
  <c r="R86" i="6"/>
  <c r="Q86" i="6"/>
  <c r="P86" i="6"/>
  <c r="O86" i="6"/>
  <c r="N86" i="6"/>
  <c r="L86" i="6"/>
  <c r="K86" i="6"/>
  <c r="J86" i="6"/>
  <c r="M85" i="6"/>
  <c r="I85" i="6"/>
  <c r="M84" i="6"/>
  <c r="I84" i="6"/>
  <c r="M83" i="6"/>
  <c r="I83" i="6"/>
  <c r="M82" i="6"/>
  <c r="I82" i="6"/>
  <c r="M81" i="6"/>
  <c r="I81" i="6"/>
  <c r="M80" i="6"/>
  <c r="M86" i="6" s="1"/>
  <c r="I80" i="6"/>
  <c r="I86" i="6" s="1"/>
  <c r="U79" i="6"/>
  <c r="T79" i="6"/>
  <c r="R79" i="6"/>
  <c r="Q79" i="6"/>
  <c r="P79" i="6"/>
  <c r="O79" i="6"/>
  <c r="N79" i="6"/>
  <c r="L79" i="6"/>
  <c r="K79" i="6"/>
  <c r="J79" i="6"/>
  <c r="M78" i="6"/>
  <c r="I78" i="6"/>
  <c r="M77" i="6"/>
  <c r="I77" i="6"/>
  <c r="M76" i="6"/>
  <c r="I76" i="6"/>
  <c r="M75" i="6"/>
  <c r="I75" i="6"/>
  <c r="I79" i="6" s="1"/>
  <c r="M74" i="6"/>
  <c r="M79" i="6" s="1"/>
  <c r="I74" i="6"/>
  <c r="U73" i="6"/>
  <c r="T73" i="6"/>
  <c r="R73" i="6"/>
  <c r="Q73" i="6"/>
  <c r="P73" i="6"/>
  <c r="O73" i="6"/>
  <c r="N73" i="6"/>
  <c r="L73" i="6"/>
  <c r="K73" i="6"/>
  <c r="J73" i="6"/>
  <c r="M72" i="6"/>
  <c r="I72" i="6"/>
  <c r="M71" i="6"/>
  <c r="I71" i="6"/>
  <c r="M70" i="6"/>
  <c r="I70" i="6"/>
  <c r="M69" i="6"/>
  <c r="I69" i="6"/>
  <c r="M68" i="6"/>
  <c r="I68" i="6"/>
  <c r="M67" i="6"/>
  <c r="M73" i="6" s="1"/>
  <c r="I67" i="6"/>
  <c r="I73" i="6" s="1"/>
  <c r="U66" i="6"/>
  <c r="T66" i="6"/>
  <c r="R66" i="6"/>
  <c r="Q66" i="6"/>
  <c r="P66" i="6"/>
  <c r="O66" i="6"/>
  <c r="N66" i="6"/>
  <c r="L66" i="6"/>
  <c r="K66" i="6"/>
  <c r="J66" i="6"/>
  <c r="M65" i="6"/>
  <c r="I65" i="6"/>
  <c r="M64" i="6"/>
  <c r="I64" i="6"/>
  <c r="M63" i="6"/>
  <c r="I63" i="6"/>
  <c r="M62" i="6"/>
  <c r="I62" i="6"/>
  <c r="M61" i="6"/>
  <c r="M66" i="6" s="1"/>
  <c r="I61" i="6"/>
  <c r="I66" i="6" s="1"/>
  <c r="U60" i="6"/>
  <c r="T60" i="6"/>
  <c r="R60" i="6"/>
  <c r="Q60" i="6"/>
  <c r="P60" i="6"/>
  <c r="O60" i="6"/>
  <c r="N60" i="6"/>
  <c r="L60" i="6"/>
  <c r="K60" i="6"/>
  <c r="J60" i="6"/>
  <c r="M59" i="6"/>
  <c r="I59" i="6"/>
  <c r="M58" i="6"/>
  <c r="I58" i="6"/>
  <c r="M57" i="6"/>
  <c r="I57" i="6"/>
  <c r="M56" i="6"/>
  <c r="I56" i="6"/>
  <c r="I60" i="6" s="1"/>
  <c r="M55" i="6"/>
  <c r="M60" i="6" s="1"/>
  <c r="I55" i="6"/>
  <c r="U54" i="6"/>
  <c r="T54" i="6"/>
  <c r="R54" i="6"/>
  <c r="Q54" i="6"/>
  <c r="P54" i="6"/>
  <c r="O54" i="6"/>
  <c r="N54" i="6"/>
  <c r="L54" i="6"/>
  <c r="K54" i="6"/>
  <c r="J54" i="6"/>
  <c r="M53" i="6"/>
  <c r="I53" i="6"/>
  <c r="M52" i="6"/>
  <c r="I52" i="6"/>
  <c r="M51" i="6"/>
  <c r="I51" i="6"/>
  <c r="M50" i="6"/>
  <c r="I50" i="6"/>
  <c r="M49" i="6"/>
  <c r="I49" i="6"/>
  <c r="M48" i="6"/>
  <c r="M54" i="6" s="1"/>
  <c r="I48" i="6"/>
  <c r="I54" i="6" s="1"/>
  <c r="U47" i="6"/>
  <c r="T47" i="6"/>
  <c r="R47" i="6"/>
  <c r="Q47" i="6"/>
  <c r="P47" i="6"/>
  <c r="O47" i="6"/>
  <c r="N47" i="6"/>
  <c r="L47" i="6"/>
  <c r="K47" i="6"/>
  <c r="J47" i="6"/>
  <c r="M46" i="6"/>
  <c r="I46" i="6"/>
  <c r="M45" i="6"/>
  <c r="I45" i="6"/>
  <c r="M44" i="6"/>
  <c r="I44" i="6"/>
  <c r="M43" i="6"/>
  <c r="I43" i="6"/>
  <c r="M42" i="6"/>
  <c r="M47" i="6" s="1"/>
  <c r="I42" i="6"/>
  <c r="I47" i="6" s="1"/>
  <c r="U41" i="6"/>
  <c r="T41" i="6"/>
  <c r="R41" i="6"/>
  <c r="Q41" i="6"/>
  <c r="P41" i="6"/>
  <c r="O41" i="6"/>
  <c r="N41" i="6"/>
  <c r="L41" i="6"/>
  <c r="K41" i="6"/>
  <c r="J41" i="6"/>
  <c r="M40" i="6"/>
  <c r="I40" i="6"/>
  <c r="M39" i="6"/>
  <c r="M19" i="6" s="1"/>
  <c r="M250" i="6" s="1"/>
  <c r="I39" i="6"/>
  <c r="M38" i="6"/>
  <c r="I38" i="6"/>
  <c r="M37" i="6"/>
  <c r="I37" i="6"/>
  <c r="M36" i="6"/>
  <c r="I36" i="6"/>
  <c r="M35" i="6"/>
  <c r="M41" i="6" s="1"/>
  <c r="I35" i="6"/>
  <c r="I41" i="6" s="1"/>
  <c r="U34" i="6"/>
  <c r="T34" i="6"/>
  <c r="R34" i="6"/>
  <c r="Q34" i="6"/>
  <c r="P34" i="6"/>
  <c r="O34" i="6"/>
  <c r="N34" i="6"/>
  <c r="L34" i="6"/>
  <c r="K34" i="6"/>
  <c r="J34" i="6"/>
  <c r="M33" i="6"/>
  <c r="M32" i="6"/>
  <c r="I32" i="6"/>
  <c r="I19" i="6" s="1"/>
  <c r="I250" i="6" s="1"/>
  <c r="M31" i="6"/>
  <c r="I31" i="6"/>
  <c r="M30" i="6"/>
  <c r="I30" i="6"/>
  <c r="M29" i="6"/>
  <c r="M34" i="6" s="1"/>
  <c r="I29" i="6"/>
  <c r="I34" i="6" s="1"/>
  <c r="U28" i="6"/>
  <c r="T28" i="6"/>
  <c r="R28" i="6"/>
  <c r="Q28" i="6"/>
  <c r="P28" i="6"/>
  <c r="O28" i="6"/>
  <c r="N28" i="6"/>
  <c r="M28" i="6"/>
  <c r="L28" i="6"/>
  <c r="K28" i="6"/>
  <c r="J28" i="6"/>
  <c r="M27" i="6"/>
  <c r="I27" i="6"/>
  <c r="M26" i="6"/>
  <c r="I26" i="6"/>
  <c r="M25" i="6"/>
  <c r="I25" i="6"/>
  <c r="M24" i="6"/>
  <c r="I24" i="6"/>
  <c r="M23" i="6"/>
  <c r="I23" i="6"/>
  <c r="I28" i="6" s="1"/>
  <c r="R21" i="6"/>
  <c r="R252" i="6" s="1"/>
  <c r="Q21" i="6"/>
  <c r="P21" i="6"/>
  <c r="P252" i="6" s="1"/>
  <c r="O21" i="6"/>
  <c r="O252" i="6" s="1"/>
  <c r="N21" i="6"/>
  <c r="N252" i="6" s="1"/>
  <c r="M21" i="6"/>
  <c r="L21" i="6"/>
  <c r="L252" i="6" s="1"/>
  <c r="K21" i="6"/>
  <c r="K252" i="6" s="1"/>
  <c r="J21" i="6"/>
  <c r="J252" i="6" s="1"/>
  <c r="I21" i="6"/>
  <c r="R20" i="6"/>
  <c r="R251" i="6" s="1"/>
  <c r="Q20" i="6"/>
  <c r="Q251" i="6" s="1"/>
  <c r="P20" i="6"/>
  <c r="P251" i="6" s="1"/>
  <c r="O20" i="6"/>
  <c r="N20" i="6"/>
  <c r="N251" i="6" s="1"/>
  <c r="M20" i="6"/>
  <c r="M251" i="6" s="1"/>
  <c r="L20" i="6"/>
  <c r="L251" i="6" s="1"/>
  <c r="I20" i="6"/>
  <c r="P19" i="6"/>
  <c r="P250" i="6" s="1"/>
  <c r="O19" i="6"/>
  <c r="O250" i="6" s="1"/>
  <c r="N19" i="6"/>
  <c r="N250" i="6" s="1"/>
  <c r="L19" i="6"/>
  <c r="L250" i="6" s="1"/>
  <c r="K19" i="6"/>
  <c r="K250" i="6" s="1"/>
  <c r="J19" i="6"/>
  <c r="J250" i="6" s="1"/>
  <c r="R18" i="6"/>
  <c r="R249" i="6" s="1"/>
  <c r="Q18" i="6"/>
  <c r="Q249" i="6" s="1"/>
  <c r="P18" i="6"/>
  <c r="P249" i="6" s="1"/>
  <c r="O18" i="6"/>
  <c r="N18" i="6"/>
  <c r="N249" i="6" s="1"/>
  <c r="M18" i="6"/>
  <c r="M249" i="6" s="1"/>
  <c r="L18" i="6"/>
  <c r="L249" i="6" s="1"/>
  <c r="K18" i="6"/>
  <c r="J18" i="6"/>
  <c r="J249" i="6" s="1"/>
  <c r="I18" i="6"/>
  <c r="I249" i="6" s="1"/>
  <c r="R17" i="6"/>
  <c r="R247" i="6" s="1"/>
  <c r="Q17" i="6"/>
  <c r="Q247" i="6" s="1"/>
  <c r="P17" i="6"/>
  <c r="P247" i="6" s="1"/>
  <c r="O17" i="6"/>
  <c r="O247" i="6" s="1"/>
  <c r="N17" i="6"/>
  <c r="N247" i="6" s="1"/>
  <c r="M17" i="6"/>
  <c r="M247" i="6" s="1"/>
  <c r="L17" i="6"/>
  <c r="L247" i="6" s="1"/>
  <c r="K17" i="6"/>
  <c r="K247" i="6" s="1"/>
  <c r="J17" i="6"/>
  <c r="J247" i="6" s="1"/>
  <c r="I17" i="6"/>
  <c r="I247" i="6" s="1"/>
  <c r="R16" i="6"/>
  <c r="R246" i="6" s="1"/>
  <c r="Q16" i="6"/>
  <c r="Q246" i="6" s="1"/>
  <c r="P16" i="6"/>
  <c r="P246" i="6" s="1"/>
  <c r="O16" i="6"/>
  <c r="O246" i="6" s="1"/>
  <c r="N16" i="6"/>
  <c r="N246" i="6" s="1"/>
  <c r="M16" i="6"/>
  <c r="L16" i="6"/>
  <c r="L246" i="6" s="1"/>
  <c r="K16" i="6"/>
  <c r="K246" i="6" s="1"/>
  <c r="J16" i="6"/>
  <c r="J246" i="6" s="1"/>
  <c r="I16" i="6"/>
  <c r="U15" i="6"/>
  <c r="U22" i="6" s="1"/>
  <c r="T15" i="6"/>
  <c r="T22" i="6" s="1"/>
  <c r="R15" i="6"/>
  <c r="R245" i="6" s="1"/>
  <c r="Q15" i="6"/>
  <c r="Q22" i="6" s="1"/>
  <c r="Q180" i="6" s="1"/>
  <c r="Q238" i="6" s="1"/>
  <c r="Q239" i="6" s="1"/>
  <c r="P15" i="6"/>
  <c r="P22" i="6" s="1"/>
  <c r="P180" i="6" s="1"/>
  <c r="P238" i="6" s="1"/>
  <c r="P239" i="6" s="1"/>
  <c r="O15" i="6"/>
  <c r="O22" i="6" s="1"/>
  <c r="O180" i="6" s="1"/>
  <c r="O238" i="6" s="1"/>
  <c r="O239" i="6" s="1"/>
  <c r="N15" i="6"/>
  <c r="N245" i="6" s="1"/>
  <c r="M15" i="6"/>
  <c r="L15" i="6"/>
  <c r="L22" i="6" s="1"/>
  <c r="L180" i="6" s="1"/>
  <c r="K15" i="6"/>
  <c r="K22" i="6" s="1"/>
  <c r="K180" i="6" s="1"/>
  <c r="J15" i="6"/>
  <c r="J245" i="6" s="1"/>
  <c r="I15" i="6"/>
  <c r="I245" i="6" s="1"/>
  <c r="I246" i="6" l="1"/>
  <c r="M246" i="6"/>
  <c r="K255" i="6"/>
  <c r="J255" i="6"/>
  <c r="N255" i="6"/>
  <c r="R255" i="6"/>
  <c r="K237" i="6"/>
  <c r="O255" i="6"/>
  <c r="I237" i="6"/>
  <c r="L237" i="6"/>
  <c r="K238" i="6"/>
  <c r="K239" i="6" s="1"/>
  <c r="L238" i="6"/>
  <c r="L239" i="6" s="1"/>
  <c r="M22" i="6"/>
  <c r="J22" i="6"/>
  <c r="J180" i="6" s="1"/>
  <c r="J238" i="6" s="1"/>
  <c r="J239" i="6" s="1"/>
  <c r="N22" i="6"/>
  <c r="N180" i="6" s="1"/>
  <c r="N238" i="6" s="1"/>
  <c r="N239" i="6" s="1"/>
  <c r="R22" i="6"/>
  <c r="R180" i="6" s="1"/>
  <c r="R238" i="6" s="1"/>
  <c r="R239" i="6" s="1"/>
  <c r="M100" i="6"/>
  <c r="M106" i="6" s="1"/>
  <c r="I105" i="6"/>
  <c r="I106" i="6" s="1"/>
  <c r="I189" i="6"/>
  <c r="I190" i="6" s="1"/>
  <c r="M189" i="6"/>
  <c r="M190" i="6" s="1"/>
  <c r="M237" i="6" s="1"/>
  <c r="L245" i="6"/>
  <c r="L255" i="6" s="1"/>
  <c r="P245" i="6"/>
  <c r="P255" i="6" s="1"/>
  <c r="I22" i="6"/>
  <c r="Q245" i="6"/>
  <c r="Q255" i="6" s="1"/>
  <c r="I528" i="8"/>
  <c r="O527" i="8"/>
  <c r="N527" i="8"/>
  <c r="J527" i="8"/>
  <c r="Q522" i="8"/>
  <c r="Q527" i="8" s="1"/>
  <c r="P522" i="8"/>
  <c r="P527" i="8" s="1"/>
  <c r="O522" i="8"/>
  <c r="N522" i="8"/>
  <c r="M522" i="8"/>
  <c r="M527" i="8" s="1"/>
  <c r="L522" i="8"/>
  <c r="L527" i="8" s="1"/>
  <c r="K522" i="8"/>
  <c r="K527" i="8" s="1"/>
  <c r="J522" i="8"/>
  <c r="I522" i="8"/>
  <c r="I527" i="8" s="1"/>
  <c r="H522" i="8"/>
  <c r="H527" i="8" s="1"/>
  <c r="M519" i="8"/>
  <c r="I519" i="8"/>
  <c r="Q515" i="8"/>
  <c r="P515" i="8"/>
  <c r="P514" i="8" s="1"/>
  <c r="Q514" i="8"/>
  <c r="O514" i="8"/>
  <c r="O519" i="8" s="1"/>
  <c r="O528" i="8" s="1"/>
  <c r="N514" i="8"/>
  <c r="N519" i="8" s="1"/>
  <c r="N528" i="8" s="1"/>
  <c r="M514" i="8"/>
  <c r="L514" i="8"/>
  <c r="L519" i="8" s="1"/>
  <c r="L528" i="8" s="1"/>
  <c r="K514" i="8"/>
  <c r="K519" i="8" s="1"/>
  <c r="K528" i="8" s="1"/>
  <c r="J514" i="8"/>
  <c r="J519" i="8" s="1"/>
  <c r="J528" i="8" s="1"/>
  <c r="I514" i="8"/>
  <c r="H514" i="8"/>
  <c r="H519" i="8" s="1"/>
  <c r="H528" i="8" s="1"/>
  <c r="Q512" i="8"/>
  <c r="Q519" i="8" s="1"/>
  <c r="Q528" i="8" s="1"/>
  <c r="P512" i="8"/>
  <c r="M510" i="8"/>
  <c r="I510" i="8"/>
  <c r="T509" i="8"/>
  <c r="S509" i="8"/>
  <c r="O509" i="8"/>
  <c r="O510" i="8" s="1"/>
  <c r="K509" i="8"/>
  <c r="K510" i="8" s="1"/>
  <c r="Q505" i="8"/>
  <c r="Q504" i="8" s="1"/>
  <c r="Q509" i="8" s="1"/>
  <c r="Q510" i="8" s="1"/>
  <c r="P505" i="8"/>
  <c r="P504" i="8" s="1"/>
  <c r="P509" i="8" s="1"/>
  <c r="P510" i="8" s="1"/>
  <c r="O504" i="8"/>
  <c r="N504" i="8"/>
  <c r="N509" i="8" s="1"/>
  <c r="N510" i="8" s="1"/>
  <c r="M504" i="8"/>
  <c r="M509" i="8" s="1"/>
  <c r="L504" i="8"/>
  <c r="L509" i="8" s="1"/>
  <c r="L510" i="8" s="1"/>
  <c r="K504" i="8"/>
  <c r="J504" i="8"/>
  <c r="J509" i="8" s="1"/>
  <c r="J510" i="8" s="1"/>
  <c r="I504" i="8"/>
  <c r="I509" i="8" s="1"/>
  <c r="H504" i="8"/>
  <c r="H509" i="8" s="1"/>
  <c r="H510" i="8" s="1"/>
  <c r="N499" i="8"/>
  <c r="K499" i="8"/>
  <c r="J499" i="8"/>
  <c r="I499" i="8"/>
  <c r="H499" i="8"/>
  <c r="Q494" i="8"/>
  <c r="Q499" i="8" s="1"/>
  <c r="P494" i="8"/>
  <c r="P499" i="8" s="1"/>
  <c r="O494" i="8"/>
  <c r="O499" i="8" s="1"/>
  <c r="N494" i="8"/>
  <c r="M494" i="8"/>
  <c r="M499" i="8" s="1"/>
  <c r="L494" i="8"/>
  <c r="L499" i="8" s="1"/>
  <c r="N491" i="8"/>
  <c r="K491" i="8"/>
  <c r="J491" i="8"/>
  <c r="I491" i="8"/>
  <c r="H491" i="8"/>
  <c r="Q486" i="8"/>
  <c r="Q491" i="8" s="1"/>
  <c r="P486" i="8"/>
  <c r="P491" i="8" s="1"/>
  <c r="O486" i="8"/>
  <c r="O491" i="8" s="1"/>
  <c r="N486" i="8"/>
  <c r="M486" i="8"/>
  <c r="M491" i="8" s="1"/>
  <c r="L486" i="8"/>
  <c r="L491" i="8" s="1"/>
  <c r="N483" i="8"/>
  <c r="K483" i="8"/>
  <c r="J483" i="8"/>
  <c r="I483" i="8"/>
  <c r="H483" i="8"/>
  <c r="Q478" i="8"/>
  <c r="Q483" i="8" s="1"/>
  <c r="P478" i="8"/>
  <c r="P483" i="8" s="1"/>
  <c r="O478" i="8"/>
  <c r="O483" i="8" s="1"/>
  <c r="N478" i="8"/>
  <c r="M478" i="8"/>
  <c r="M483" i="8" s="1"/>
  <c r="L478" i="8"/>
  <c r="L483" i="8" s="1"/>
  <c r="N475" i="8"/>
  <c r="K475" i="8"/>
  <c r="J475" i="8"/>
  <c r="I475" i="8"/>
  <c r="H475" i="8"/>
  <c r="Q470" i="8"/>
  <c r="Q475" i="8" s="1"/>
  <c r="P470" i="8"/>
  <c r="P475" i="8" s="1"/>
  <c r="O470" i="8"/>
  <c r="O475" i="8" s="1"/>
  <c r="N470" i="8"/>
  <c r="M470" i="8"/>
  <c r="M475" i="8" s="1"/>
  <c r="L470" i="8"/>
  <c r="L475" i="8" s="1"/>
  <c r="Q467" i="8"/>
  <c r="N467" i="8"/>
  <c r="K467" i="8"/>
  <c r="J467" i="8"/>
  <c r="I467" i="8"/>
  <c r="Q462" i="8"/>
  <c r="P462" i="8"/>
  <c r="P467" i="8" s="1"/>
  <c r="O462" i="8"/>
  <c r="O467" i="8" s="1"/>
  <c r="N462" i="8"/>
  <c r="M462" i="8"/>
  <c r="M467" i="8" s="1"/>
  <c r="L462" i="8"/>
  <c r="L467" i="8" s="1"/>
  <c r="K462" i="8"/>
  <c r="J462" i="8"/>
  <c r="I462" i="8"/>
  <c r="H462" i="8"/>
  <c r="H467" i="8" s="1"/>
  <c r="T459" i="8"/>
  <c r="S459" i="8"/>
  <c r="Q459" i="8"/>
  <c r="N459" i="8"/>
  <c r="M459" i="8"/>
  <c r="K459" i="8"/>
  <c r="J459" i="8"/>
  <c r="I459" i="8"/>
  <c r="H459" i="8"/>
  <c r="Q454" i="8"/>
  <c r="P454" i="8"/>
  <c r="P459" i="8" s="1"/>
  <c r="O454" i="8"/>
  <c r="O459" i="8" s="1"/>
  <c r="N454" i="8"/>
  <c r="M454" i="8"/>
  <c r="L454" i="8"/>
  <c r="L459" i="8" s="1"/>
  <c r="T451" i="8"/>
  <c r="S451" i="8"/>
  <c r="O451" i="8"/>
  <c r="L451" i="8"/>
  <c r="K451" i="8"/>
  <c r="J451" i="8"/>
  <c r="I451" i="8"/>
  <c r="H451" i="8"/>
  <c r="Q446" i="8"/>
  <c r="Q451" i="8" s="1"/>
  <c r="P446" i="8"/>
  <c r="P451" i="8" s="1"/>
  <c r="O446" i="8"/>
  <c r="N446" i="8"/>
  <c r="N451" i="8" s="1"/>
  <c r="M446" i="8"/>
  <c r="M451" i="8" s="1"/>
  <c r="L446" i="8"/>
  <c r="O443" i="8"/>
  <c r="L443" i="8"/>
  <c r="K443" i="8"/>
  <c r="J443" i="8"/>
  <c r="I443" i="8"/>
  <c r="H443" i="8"/>
  <c r="Q438" i="8"/>
  <c r="Q443" i="8" s="1"/>
  <c r="P438" i="8"/>
  <c r="P443" i="8" s="1"/>
  <c r="O438" i="8"/>
  <c r="N438" i="8"/>
  <c r="N443" i="8" s="1"/>
  <c r="M438" i="8"/>
  <c r="M443" i="8" s="1"/>
  <c r="L438" i="8"/>
  <c r="N435" i="8"/>
  <c r="L435" i="8"/>
  <c r="K435" i="8"/>
  <c r="J435" i="8"/>
  <c r="I435" i="8"/>
  <c r="H435" i="8"/>
  <c r="Q434" i="8"/>
  <c r="P434" i="8"/>
  <c r="P435" i="8" s="1"/>
  <c r="Q430" i="8"/>
  <c r="P430" i="8"/>
  <c r="O430" i="8"/>
  <c r="O435" i="8" s="1"/>
  <c r="N430" i="8"/>
  <c r="M430" i="8"/>
  <c r="M435" i="8" s="1"/>
  <c r="L430" i="8"/>
  <c r="Q428" i="8"/>
  <c r="Q435" i="8" s="1"/>
  <c r="P428" i="8"/>
  <c r="O427" i="8"/>
  <c r="L427" i="8"/>
  <c r="I427" i="8"/>
  <c r="H427" i="8"/>
  <c r="Q426" i="8"/>
  <c r="P426" i="8"/>
  <c r="Q424" i="8"/>
  <c r="P424" i="8"/>
  <c r="P422" i="8" s="1"/>
  <c r="Q422" i="8"/>
  <c r="O422" i="8"/>
  <c r="N422" i="8"/>
  <c r="N427" i="8" s="1"/>
  <c r="M422" i="8"/>
  <c r="M427" i="8" s="1"/>
  <c r="L422" i="8"/>
  <c r="K422" i="8"/>
  <c r="K427" i="8" s="1"/>
  <c r="J422" i="8"/>
  <c r="J427" i="8" s="1"/>
  <c r="I422" i="8"/>
  <c r="H422" i="8"/>
  <c r="Q420" i="8"/>
  <c r="P420" i="8"/>
  <c r="P427" i="8" s="1"/>
  <c r="O419" i="8"/>
  <c r="N419" i="8"/>
  <c r="J419" i="8"/>
  <c r="Q414" i="8"/>
  <c r="Q419" i="8" s="1"/>
  <c r="P414" i="8"/>
  <c r="P419" i="8" s="1"/>
  <c r="O414" i="8"/>
  <c r="N414" i="8"/>
  <c r="M414" i="8"/>
  <c r="M419" i="8" s="1"/>
  <c r="L414" i="8"/>
  <c r="L419" i="8" s="1"/>
  <c r="K414" i="8"/>
  <c r="K419" i="8" s="1"/>
  <c r="J414" i="8"/>
  <c r="I414" i="8"/>
  <c r="I419" i="8" s="1"/>
  <c r="H414" i="8"/>
  <c r="H419" i="8" s="1"/>
  <c r="T411" i="8"/>
  <c r="S411" i="8"/>
  <c r="Q411" i="8"/>
  <c r="P411" i="8"/>
  <c r="O411" i="8"/>
  <c r="L411" i="8"/>
  <c r="K411" i="8"/>
  <c r="J411" i="8"/>
  <c r="I411" i="8"/>
  <c r="H411" i="8"/>
  <c r="Q406" i="8"/>
  <c r="P406" i="8"/>
  <c r="O406" i="8"/>
  <c r="N406" i="8"/>
  <c r="N411" i="8" s="1"/>
  <c r="M406" i="8"/>
  <c r="M411" i="8" s="1"/>
  <c r="L406" i="8"/>
  <c r="T403" i="8"/>
  <c r="S403" i="8"/>
  <c r="O403" i="8"/>
  <c r="O500" i="8" s="1"/>
  <c r="N403" i="8"/>
  <c r="M403" i="8"/>
  <c r="K403" i="8"/>
  <c r="J403" i="8"/>
  <c r="I403" i="8"/>
  <c r="I500" i="8" s="1"/>
  <c r="H403" i="8"/>
  <c r="Q398" i="8"/>
  <c r="Q403" i="8" s="1"/>
  <c r="P398" i="8"/>
  <c r="P403" i="8" s="1"/>
  <c r="O398" i="8"/>
  <c r="N398" i="8"/>
  <c r="M398" i="8"/>
  <c r="L398" i="8"/>
  <c r="L403" i="8" s="1"/>
  <c r="P393" i="8"/>
  <c r="O393" i="8"/>
  <c r="N393" i="8"/>
  <c r="M393" i="8"/>
  <c r="L393" i="8"/>
  <c r="K393" i="8"/>
  <c r="J393" i="8"/>
  <c r="I393" i="8"/>
  <c r="H393" i="8"/>
  <c r="Q388" i="8"/>
  <c r="Q393" i="8" s="1"/>
  <c r="P388" i="8"/>
  <c r="P385" i="8"/>
  <c r="O385" i="8"/>
  <c r="N385" i="8"/>
  <c r="M385" i="8"/>
  <c r="L385" i="8"/>
  <c r="K385" i="8"/>
  <c r="J385" i="8"/>
  <c r="I385" i="8"/>
  <c r="H385" i="8"/>
  <c r="Q380" i="8"/>
  <c r="Q385" i="8" s="1"/>
  <c r="P380" i="8"/>
  <c r="P377" i="8"/>
  <c r="O377" i="8"/>
  <c r="N377" i="8"/>
  <c r="M377" i="8"/>
  <c r="L377" i="8"/>
  <c r="K377" i="8"/>
  <c r="J377" i="8"/>
  <c r="I377" i="8"/>
  <c r="H377" i="8"/>
  <c r="Q372" i="8"/>
  <c r="Q377" i="8" s="1"/>
  <c r="P372" i="8"/>
  <c r="Q369" i="8"/>
  <c r="P369" i="8"/>
  <c r="O369" i="8"/>
  <c r="L369" i="8"/>
  <c r="K369" i="8"/>
  <c r="J369" i="8"/>
  <c r="I369" i="8"/>
  <c r="H369" i="8"/>
  <c r="Q364" i="8"/>
  <c r="P364" i="8"/>
  <c r="O364" i="8"/>
  <c r="N364" i="8"/>
  <c r="N369" i="8" s="1"/>
  <c r="M364" i="8"/>
  <c r="M369" i="8" s="1"/>
  <c r="L364" i="8"/>
  <c r="P361" i="8"/>
  <c r="L361" i="8"/>
  <c r="K361" i="8"/>
  <c r="J361" i="8"/>
  <c r="I361" i="8"/>
  <c r="H361" i="8"/>
  <c r="Q356" i="8"/>
  <c r="Q361" i="8" s="1"/>
  <c r="P356" i="8"/>
  <c r="O356" i="8"/>
  <c r="O361" i="8" s="1"/>
  <c r="N356" i="8"/>
  <c r="N361" i="8" s="1"/>
  <c r="M356" i="8"/>
  <c r="M361" i="8" s="1"/>
  <c r="L356" i="8"/>
  <c r="U353" i="8"/>
  <c r="T353" i="8"/>
  <c r="Q353" i="8"/>
  <c r="N353" i="8"/>
  <c r="K353" i="8"/>
  <c r="J353" i="8"/>
  <c r="I353" i="8"/>
  <c r="Q348" i="8"/>
  <c r="P348" i="8"/>
  <c r="P353" i="8" s="1"/>
  <c r="O348" i="8"/>
  <c r="O353" i="8" s="1"/>
  <c r="N348" i="8"/>
  <c r="M348" i="8"/>
  <c r="M353" i="8" s="1"/>
  <c r="L348" i="8"/>
  <c r="L353" i="8" s="1"/>
  <c r="K348" i="8"/>
  <c r="J348" i="8"/>
  <c r="I348" i="8"/>
  <c r="H348" i="8"/>
  <c r="H353" i="8" s="1"/>
  <c r="T345" i="8"/>
  <c r="P345" i="8"/>
  <c r="O345" i="8"/>
  <c r="K345" i="8"/>
  <c r="H345" i="8"/>
  <c r="Q340" i="8"/>
  <c r="Q345" i="8" s="1"/>
  <c r="P340" i="8"/>
  <c r="O340" i="8"/>
  <c r="N340" i="8"/>
  <c r="N345" i="8" s="1"/>
  <c r="M340" i="8"/>
  <c r="M345" i="8" s="1"/>
  <c r="L340" i="8"/>
  <c r="L345" i="8" s="1"/>
  <c r="K340" i="8"/>
  <c r="J340" i="8"/>
  <c r="J345" i="8" s="1"/>
  <c r="I340" i="8"/>
  <c r="I345" i="8" s="1"/>
  <c r="H340" i="8"/>
  <c r="O337" i="8"/>
  <c r="K337" i="8"/>
  <c r="J337" i="8"/>
  <c r="H337" i="8"/>
  <c r="Q332" i="8"/>
  <c r="Q337" i="8" s="1"/>
  <c r="P332" i="8"/>
  <c r="P337" i="8" s="1"/>
  <c r="O332" i="8"/>
  <c r="N332" i="8"/>
  <c r="N337" i="8" s="1"/>
  <c r="M332" i="8"/>
  <c r="M337" i="8" s="1"/>
  <c r="L332" i="8"/>
  <c r="L337" i="8" s="1"/>
  <c r="K332" i="8"/>
  <c r="J332" i="8"/>
  <c r="I332" i="8"/>
  <c r="I337" i="8" s="1"/>
  <c r="H332" i="8"/>
  <c r="O329" i="8"/>
  <c r="N329" i="8"/>
  <c r="K329" i="8"/>
  <c r="Q324" i="8"/>
  <c r="Q329" i="8" s="1"/>
  <c r="P324" i="8"/>
  <c r="P329" i="8" s="1"/>
  <c r="O324" i="8"/>
  <c r="N324" i="8"/>
  <c r="M324" i="8"/>
  <c r="M329" i="8" s="1"/>
  <c r="L324" i="8"/>
  <c r="L329" i="8" s="1"/>
  <c r="K324" i="8"/>
  <c r="J324" i="8"/>
  <c r="J329" i="8" s="1"/>
  <c r="I324" i="8"/>
  <c r="I329" i="8" s="1"/>
  <c r="H324" i="8"/>
  <c r="H329" i="8" s="1"/>
  <c r="O321" i="8"/>
  <c r="L321" i="8"/>
  <c r="J321" i="8"/>
  <c r="Q316" i="8"/>
  <c r="Q321" i="8" s="1"/>
  <c r="P316" i="8"/>
  <c r="P321" i="8" s="1"/>
  <c r="O316" i="8"/>
  <c r="N316" i="8"/>
  <c r="N321" i="8" s="1"/>
  <c r="M316" i="8"/>
  <c r="M321" i="8" s="1"/>
  <c r="L316" i="8"/>
  <c r="K316" i="8"/>
  <c r="K321" i="8" s="1"/>
  <c r="J316" i="8"/>
  <c r="I316" i="8"/>
  <c r="I321" i="8" s="1"/>
  <c r="H316" i="8"/>
  <c r="H321" i="8" s="1"/>
  <c r="N313" i="8"/>
  <c r="J313" i="8"/>
  <c r="Q308" i="8"/>
  <c r="Q313" i="8" s="1"/>
  <c r="P308" i="8"/>
  <c r="P313" i="8" s="1"/>
  <c r="O308" i="8"/>
  <c r="O313" i="8" s="1"/>
  <c r="N308" i="8"/>
  <c r="M308" i="8"/>
  <c r="M313" i="8" s="1"/>
  <c r="L308" i="8"/>
  <c r="L313" i="8" s="1"/>
  <c r="K308" i="8"/>
  <c r="K313" i="8" s="1"/>
  <c r="J308" i="8"/>
  <c r="I308" i="8"/>
  <c r="I313" i="8" s="1"/>
  <c r="H308" i="8"/>
  <c r="H313" i="8" s="1"/>
  <c r="Q305" i="8"/>
  <c r="N305" i="8"/>
  <c r="K305" i="8"/>
  <c r="J305" i="8"/>
  <c r="I305" i="8"/>
  <c r="Q300" i="8"/>
  <c r="P300" i="8"/>
  <c r="P305" i="8" s="1"/>
  <c r="O300" i="8"/>
  <c r="O305" i="8" s="1"/>
  <c r="N300" i="8"/>
  <c r="M300" i="8"/>
  <c r="M305" i="8" s="1"/>
  <c r="L300" i="8"/>
  <c r="L305" i="8" s="1"/>
  <c r="K300" i="8"/>
  <c r="J300" i="8"/>
  <c r="I300" i="8"/>
  <c r="H300" i="8"/>
  <c r="H305" i="8" s="1"/>
  <c r="O297" i="8"/>
  <c r="M297" i="8"/>
  <c r="K297" i="8"/>
  <c r="I297" i="8"/>
  <c r="Q294" i="8"/>
  <c r="Q292" i="8" s="1"/>
  <c r="Q297" i="8" s="1"/>
  <c r="P292" i="8"/>
  <c r="P297" i="8" s="1"/>
  <c r="O292" i="8"/>
  <c r="N292" i="8"/>
  <c r="N297" i="8" s="1"/>
  <c r="M292" i="8"/>
  <c r="L292" i="8"/>
  <c r="L297" i="8" s="1"/>
  <c r="K292" i="8"/>
  <c r="J292" i="8"/>
  <c r="J297" i="8" s="1"/>
  <c r="I292" i="8"/>
  <c r="H292" i="8"/>
  <c r="H297" i="8" s="1"/>
  <c r="Q290" i="8"/>
  <c r="P289" i="8"/>
  <c r="M289" i="8"/>
  <c r="L289" i="8"/>
  <c r="K289" i="8"/>
  <c r="H289" i="8"/>
  <c r="Q284" i="8"/>
  <c r="Q289" i="8" s="1"/>
  <c r="P284" i="8"/>
  <c r="O284" i="8"/>
  <c r="O289" i="8" s="1"/>
  <c r="N284" i="8"/>
  <c r="N289" i="8" s="1"/>
  <c r="M284" i="8"/>
  <c r="L284" i="8"/>
  <c r="K284" i="8"/>
  <c r="J284" i="8"/>
  <c r="J289" i="8" s="1"/>
  <c r="I284" i="8"/>
  <c r="I289" i="8" s="1"/>
  <c r="H284" i="8"/>
  <c r="P281" i="8"/>
  <c r="M281" i="8"/>
  <c r="L281" i="8"/>
  <c r="K281" i="8"/>
  <c r="I281" i="8"/>
  <c r="H281" i="8"/>
  <c r="Q276" i="8"/>
  <c r="Q281" i="8" s="1"/>
  <c r="P276" i="8"/>
  <c r="O276" i="8"/>
  <c r="O281" i="8" s="1"/>
  <c r="N276" i="8"/>
  <c r="N281" i="8" s="1"/>
  <c r="M276" i="8"/>
  <c r="L276" i="8"/>
  <c r="K276" i="8"/>
  <c r="J276" i="8"/>
  <c r="J281" i="8" s="1"/>
  <c r="I276" i="8"/>
  <c r="H276" i="8"/>
  <c r="O273" i="8"/>
  <c r="M273" i="8"/>
  <c r="K273" i="8"/>
  <c r="I273" i="8"/>
  <c r="Q270" i="8"/>
  <c r="Q268" i="8" s="1"/>
  <c r="P268" i="8"/>
  <c r="P273" i="8" s="1"/>
  <c r="O268" i="8"/>
  <c r="N268" i="8"/>
  <c r="N273" i="8" s="1"/>
  <c r="M268" i="8"/>
  <c r="L268" i="8"/>
  <c r="L273" i="8" s="1"/>
  <c r="K268" i="8"/>
  <c r="J268" i="8"/>
  <c r="J273" i="8" s="1"/>
  <c r="I268" i="8"/>
  <c r="H268" i="8"/>
  <c r="H273" i="8" s="1"/>
  <c r="Q267" i="8"/>
  <c r="Q266" i="8"/>
  <c r="Q273" i="8" s="1"/>
  <c r="T265" i="8"/>
  <c r="Q265" i="8"/>
  <c r="O265" i="8"/>
  <c r="K260" i="8"/>
  <c r="K265" i="8" s="1"/>
  <c r="H260" i="8"/>
  <c r="Q260" i="8"/>
  <c r="P260" i="8"/>
  <c r="P265" i="8" s="1"/>
  <c r="O260" i="8"/>
  <c r="N260" i="8"/>
  <c r="N265" i="8" s="1"/>
  <c r="M260" i="8"/>
  <c r="M265" i="8" s="1"/>
  <c r="L260" i="8"/>
  <c r="L265" i="8" s="1"/>
  <c r="J260" i="8"/>
  <c r="J265" i="8" s="1"/>
  <c r="I260" i="8"/>
  <c r="I265" i="8" s="1"/>
  <c r="T257" i="8"/>
  <c r="S257" i="8"/>
  <c r="O257" i="8"/>
  <c r="K257" i="8"/>
  <c r="H257" i="8"/>
  <c r="Q255" i="8"/>
  <c r="P255" i="8"/>
  <c r="Q254" i="8"/>
  <c r="P254" i="8"/>
  <c r="P252" i="8" s="1"/>
  <c r="P257" i="8" s="1"/>
  <c r="Q252" i="8"/>
  <c r="Q257" i="8" s="1"/>
  <c r="O252" i="8"/>
  <c r="N252" i="8"/>
  <c r="N257" i="8" s="1"/>
  <c r="M252" i="8"/>
  <c r="M257" i="8" s="1"/>
  <c r="L252" i="8"/>
  <c r="L257" i="8" s="1"/>
  <c r="K252" i="8"/>
  <c r="J252" i="8"/>
  <c r="J257" i="8" s="1"/>
  <c r="I252" i="8"/>
  <c r="I257" i="8" s="1"/>
  <c r="H252" i="8"/>
  <c r="T249" i="8"/>
  <c r="S249" i="8"/>
  <c r="Q249" i="8"/>
  <c r="P249" i="8"/>
  <c r="O249" i="8"/>
  <c r="N249" i="8"/>
  <c r="M249" i="8"/>
  <c r="L249" i="8"/>
  <c r="J249" i="8"/>
  <c r="I249" i="8"/>
  <c r="Q244" i="8"/>
  <c r="P244" i="8"/>
  <c r="K244" i="8"/>
  <c r="K249" i="8" s="1"/>
  <c r="J244" i="8"/>
  <c r="I244" i="8"/>
  <c r="H244" i="8"/>
  <c r="H249" i="8" s="1"/>
  <c r="T241" i="8"/>
  <c r="S241" i="8"/>
  <c r="P241" i="8"/>
  <c r="K241" i="8"/>
  <c r="Q236" i="8"/>
  <c r="Q241" i="8" s="1"/>
  <c r="P236" i="8"/>
  <c r="N236" i="8"/>
  <c r="N241" i="8" s="1"/>
  <c r="M236" i="8"/>
  <c r="M241" i="8" s="1"/>
  <c r="L236" i="8"/>
  <c r="O236" i="8" s="1"/>
  <c r="K236" i="8"/>
  <c r="J236" i="8"/>
  <c r="J241" i="8" s="1"/>
  <c r="I236" i="8"/>
  <c r="I241" i="8" s="1"/>
  <c r="H236" i="8"/>
  <c r="H241" i="8" s="1"/>
  <c r="O235" i="8"/>
  <c r="O234" i="8"/>
  <c r="U233" i="8"/>
  <c r="T233" i="8"/>
  <c r="S233" i="8"/>
  <c r="Q233" i="8"/>
  <c r="M233" i="8"/>
  <c r="K233" i="8"/>
  <c r="J233" i="8"/>
  <c r="I233" i="8"/>
  <c r="H233" i="8"/>
  <c r="Q228" i="8"/>
  <c r="P228" i="8"/>
  <c r="P233" i="8" s="1"/>
  <c r="O228" i="8"/>
  <c r="O233" i="8" s="1"/>
  <c r="N228" i="8"/>
  <c r="N233" i="8" s="1"/>
  <c r="M228" i="8"/>
  <c r="L228" i="8"/>
  <c r="L233" i="8" s="1"/>
  <c r="U225" i="8"/>
  <c r="T225" i="8"/>
  <c r="S225" i="8"/>
  <c r="Q220" i="8"/>
  <c r="Q225" i="8" s="1"/>
  <c r="P220" i="8"/>
  <c r="P225" i="8" s="1"/>
  <c r="O220" i="8"/>
  <c r="O225" i="8" s="1"/>
  <c r="N220" i="8"/>
  <c r="N225" i="8" s="1"/>
  <c r="M220" i="8"/>
  <c r="M225" i="8" s="1"/>
  <c r="L220" i="8"/>
  <c r="L225" i="8" s="1"/>
  <c r="K220" i="8"/>
  <c r="K225" i="8" s="1"/>
  <c r="J220" i="8"/>
  <c r="J225" i="8" s="1"/>
  <c r="I220" i="8"/>
  <c r="I225" i="8" s="1"/>
  <c r="H220" i="8"/>
  <c r="H225" i="8" s="1"/>
  <c r="U217" i="8"/>
  <c r="T217" i="8"/>
  <c r="S217" i="8"/>
  <c r="Q217" i="8"/>
  <c r="M217" i="8"/>
  <c r="I217" i="8"/>
  <c r="Q212" i="8"/>
  <c r="P212" i="8"/>
  <c r="P217" i="8" s="1"/>
  <c r="O212" i="8"/>
  <c r="O217" i="8" s="1"/>
  <c r="N212" i="8"/>
  <c r="N217" i="8" s="1"/>
  <c r="M212" i="8"/>
  <c r="L212" i="8"/>
  <c r="L217" i="8" s="1"/>
  <c r="K212" i="8"/>
  <c r="K217" i="8" s="1"/>
  <c r="J212" i="8"/>
  <c r="J217" i="8" s="1"/>
  <c r="I212" i="8"/>
  <c r="H212" i="8"/>
  <c r="H217" i="8" s="1"/>
  <c r="U209" i="8"/>
  <c r="T209" i="8"/>
  <c r="S209" i="8"/>
  <c r="Q204" i="8"/>
  <c r="Q209" i="8" s="1"/>
  <c r="P204" i="8"/>
  <c r="P209" i="8" s="1"/>
  <c r="O204" i="8"/>
  <c r="O209" i="8" s="1"/>
  <c r="N204" i="8"/>
  <c r="N209" i="8" s="1"/>
  <c r="M204" i="8"/>
  <c r="M209" i="8" s="1"/>
  <c r="L204" i="8"/>
  <c r="L209" i="8" s="1"/>
  <c r="K204" i="8"/>
  <c r="K209" i="8" s="1"/>
  <c r="J204" i="8"/>
  <c r="J209" i="8" s="1"/>
  <c r="I204" i="8"/>
  <c r="I209" i="8" s="1"/>
  <c r="H204" i="8"/>
  <c r="H209" i="8" s="1"/>
  <c r="U201" i="8"/>
  <c r="T201" i="8"/>
  <c r="S201" i="8"/>
  <c r="Q201" i="8"/>
  <c r="M201" i="8"/>
  <c r="I201" i="8"/>
  <c r="Q196" i="8"/>
  <c r="P196" i="8"/>
  <c r="P201" i="8" s="1"/>
  <c r="O196" i="8"/>
  <c r="O201" i="8" s="1"/>
  <c r="N196" i="8"/>
  <c r="N201" i="8" s="1"/>
  <c r="M196" i="8"/>
  <c r="L196" i="8"/>
  <c r="L201" i="8" s="1"/>
  <c r="K196" i="8"/>
  <c r="K201" i="8" s="1"/>
  <c r="J196" i="8"/>
  <c r="J201" i="8" s="1"/>
  <c r="I196" i="8"/>
  <c r="H196" i="8"/>
  <c r="H201" i="8" s="1"/>
  <c r="T193" i="8"/>
  <c r="S193" i="8"/>
  <c r="Q188" i="8"/>
  <c r="Q193" i="8" s="1"/>
  <c r="P188" i="8"/>
  <c r="P193" i="8" s="1"/>
  <c r="O188" i="8"/>
  <c r="O193" i="8" s="1"/>
  <c r="N188" i="8"/>
  <c r="N193" i="8" s="1"/>
  <c r="M188" i="8"/>
  <c r="M193" i="8" s="1"/>
  <c r="L188" i="8"/>
  <c r="L193" i="8" s="1"/>
  <c r="K188" i="8"/>
  <c r="K193" i="8" s="1"/>
  <c r="J188" i="8"/>
  <c r="J193" i="8" s="1"/>
  <c r="I188" i="8"/>
  <c r="I193" i="8" s="1"/>
  <c r="H188" i="8"/>
  <c r="H193" i="8" s="1"/>
  <c r="T183" i="8"/>
  <c r="S183" i="8"/>
  <c r="O183" i="8"/>
  <c r="Q178" i="8"/>
  <c r="Q183" i="8" s="1"/>
  <c r="P178" i="8"/>
  <c r="P183" i="8" s="1"/>
  <c r="O178" i="8"/>
  <c r="N178" i="8"/>
  <c r="N183" i="8" s="1"/>
  <c r="M178" i="8"/>
  <c r="M183" i="8" s="1"/>
  <c r="L178" i="8"/>
  <c r="L183" i="8" s="1"/>
  <c r="K178" i="8"/>
  <c r="K183" i="8" s="1"/>
  <c r="J178" i="8"/>
  <c r="J183" i="8" s="1"/>
  <c r="I178" i="8"/>
  <c r="I183" i="8" s="1"/>
  <c r="H178" i="8"/>
  <c r="H183" i="8" s="1"/>
  <c r="T175" i="8"/>
  <c r="S175" i="8"/>
  <c r="Q175" i="8"/>
  <c r="O175" i="8"/>
  <c r="M175" i="8"/>
  <c r="K175" i="8"/>
  <c r="I175" i="8"/>
  <c r="P171" i="8"/>
  <c r="Q170" i="8"/>
  <c r="P170" i="8"/>
  <c r="O170" i="8"/>
  <c r="N170" i="8"/>
  <c r="N175" i="8" s="1"/>
  <c r="M170" i="8"/>
  <c r="L170" i="8"/>
  <c r="L175" i="8" s="1"/>
  <c r="K170" i="8"/>
  <c r="J170" i="8"/>
  <c r="J175" i="8" s="1"/>
  <c r="I170" i="8"/>
  <c r="H170" i="8"/>
  <c r="H175" i="8" s="1"/>
  <c r="Q168" i="8"/>
  <c r="P168" i="8"/>
  <c r="T167" i="8"/>
  <c r="S167" i="8"/>
  <c r="P167" i="8"/>
  <c r="H167" i="8"/>
  <c r="Q162" i="8"/>
  <c r="Q167" i="8" s="1"/>
  <c r="P162" i="8"/>
  <c r="O162" i="8"/>
  <c r="O167" i="8" s="1"/>
  <c r="N162" i="8"/>
  <c r="N167" i="8" s="1"/>
  <c r="M162" i="8"/>
  <c r="M167" i="8" s="1"/>
  <c r="L162" i="8"/>
  <c r="L167" i="8" s="1"/>
  <c r="K162" i="8"/>
  <c r="K167" i="8" s="1"/>
  <c r="J162" i="8"/>
  <c r="J167" i="8" s="1"/>
  <c r="I162" i="8"/>
  <c r="I167" i="8" s="1"/>
  <c r="H162" i="8"/>
  <c r="T159" i="8"/>
  <c r="S159" i="8"/>
  <c r="J159" i="8"/>
  <c r="Q156" i="8"/>
  <c r="Q154" i="8" s="1"/>
  <c r="P156" i="8"/>
  <c r="P154" i="8"/>
  <c r="O154" i="8"/>
  <c r="O159" i="8" s="1"/>
  <c r="N154" i="8"/>
  <c r="N159" i="8" s="1"/>
  <c r="M154" i="8"/>
  <c r="M159" i="8" s="1"/>
  <c r="L154" i="8"/>
  <c r="L159" i="8" s="1"/>
  <c r="K154" i="8"/>
  <c r="K159" i="8" s="1"/>
  <c r="J154" i="8"/>
  <c r="I154" i="8"/>
  <c r="I159" i="8" s="1"/>
  <c r="H154" i="8"/>
  <c r="H159" i="8" s="1"/>
  <c r="Q153" i="8"/>
  <c r="P153" i="8"/>
  <c r="Q152" i="8"/>
  <c r="P152" i="8"/>
  <c r="P159" i="8" s="1"/>
  <c r="T151" i="8"/>
  <c r="S151" i="8"/>
  <c r="Q148" i="8"/>
  <c r="Q146" i="8" s="1"/>
  <c r="P148" i="8"/>
  <c r="P146" i="8"/>
  <c r="O146" i="8"/>
  <c r="O151" i="8" s="1"/>
  <c r="N146" i="8"/>
  <c r="N151" i="8" s="1"/>
  <c r="M146" i="8"/>
  <c r="M151" i="8" s="1"/>
  <c r="L146" i="8"/>
  <c r="L151" i="8" s="1"/>
  <c r="K146" i="8"/>
  <c r="K151" i="8" s="1"/>
  <c r="J146" i="8"/>
  <c r="J151" i="8" s="1"/>
  <c r="I146" i="8"/>
  <c r="I151" i="8" s="1"/>
  <c r="H146" i="8"/>
  <c r="H151" i="8" s="1"/>
  <c r="Q145" i="8"/>
  <c r="P145" i="8"/>
  <c r="Q144" i="8"/>
  <c r="P144" i="8"/>
  <c r="P151" i="8" s="1"/>
  <c r="T143" i="8"/>
  <c r="S143" i="8"/>
  <c r="N143" i="8"/>
  <c r="J143" i="8"/>
  <c r="Q138" i="8"/>
  <c r="Q143" i="8" s="1"/>
  <c r="P138" i="8"/>
  <c r="P143" i="8" s="1"/>
  <c r="O138" i="8"/>
  <c r="O143" i="8" s="1"/>
  <c r="N138" i="8"/>
  <c r="M138" i="8"/>
  <c r="M143" i="8" s="1"/>
  <c r="L138" i="8"/>
  <c r="L143" i="8" s="1"/>
  <c r="K138" i="8"/>
  <c r="K143" i="8" s="1"/>
  <c r="J138" i="8"/>
  <c r="I138" i="8"/>
  <c r="I143" i="8" s="1"/>
  <c r="H138" i="8"/>
  <c r="H143" i="8" s="1"/>
  <c r="T135" i="8"/>
  <c r="S135" i="8"/>
  <c r="N135" i="8"/>
  <c r="L135" i="8"/>
  <c r="H135" i="8"/>
  <c r="Q133" i="8"/>
  <c r="P133" i="8"/>
  <c r="Q132" i="8"/>
  <c r="Q130" i="8" s="1"/>
  <c r="Q135" i="8" s="1"/>
  <c r="P132" i="8"/>
  <c r="P130" i="8" s="1"/>
  <c r="P135" i="8" s="1"/>
  <c r="O130" i="8"/>
  <c r="O135" i="8" s="1"/>
  <c r="N130" i="8"/>
  <c r="M130" i="8"/>
  <c r="M135" i="8" s="1"/>
  <c r="L130" i="8"/>
  <c r="K130" i="8"/>
  <c r="K135" i="8" s="1"/>
  <c r="J130" i="8"/>
  <c r="J135" i="8" s="1"/>
  <c r="I130" i="8"/>
  <c r="I135" i="8" s="1"/>
  <c r="H130" i="8"/>
  <c r="T127" i="8"/>
  <c r="S127" i="8"/>
  <c r="L127" i="8"/>
  <c r="Q124" i="8"/>
  <c r="P124" i="8"/>
  <c r="P122" i="8" s="1"/>
  <c r="O122" i="8"/>
  <c r="O127" i="8" s="1"/>
  <c r="N122" i="8"/>
  <c r="N127" i="8" s="1"/>
  <c r="M122" i="8"/>
  <c r="M127" i="8" s="1"/>
  <c r="L122" i="8"/>
  <c r="K122" i="8"/>
  <c r="K127" i="8" s="1"/>
  <c r="J122" i="8"/>
  <c r="J127" i="8" s="1"/>
  <c r="I122" i="8"/>
  <c r="I127" i="8" s="1"/>
  <c r="H122" i="8"/>
  <c r="H127" i="8" s="1"/>
  <c r="Q121" i="8"/>
  <c r="P121" i="8"/>
  <c r="Q120" i="8"/>
  <c r="P120" i="8"/>
  <c r="P127" i="8" s="1"/>
  <c r="T119" i="8"/>
  <c r="S119" i="8"/>
  <c r="J119" i="8"/>
  <c r="I119" i="8"/>
  <c r="U116" i="8"/>
  <c r="T116" i="8"/>
  <c r="Q114" i="8"/>
  <c r="Q119" i="8" s="1"/>
  <c r="P114" i="8"/>
  <c r="P119" i="8" s="1"/>
  <c r="O114" i="8"/>
  <c r="O119" i="8" s="1"/>
  <c r="N114" i="8"/>
  <c r="N119" i="8" s="1"/>
  <c r="M114" i="8"/>
  <c r="M119" i="8" s="1"/>
  <c r="L114" i="8"/>
  <c r="L119" i="8" s="1"/>
  <c r="K114" i="8"/>
  <c r="K119" i="8" s="1"/>
  <c r="H114" i="8"/>
  <c r="H119" i="8" s="1"/>
  <c r="T111" i="8"/>
  <c r="S111" i="8"/>
  <c r="Q111" i="8"/>
  <c r="O111" i="8"/>
  <c r="M111" i="8"/>
  <c r="K111" i="8"/>
  <c r="I111" i="8"/>
  <c r="P109" i="8"/>
  <c r="Q106" i="8"/>
  <c r="P106" i="8"/>
  <c r="P111" i="8" s="1"/>
  <c r="O106" i="8"/>
  <c r="N106" i="8"/>
  <c r="N111" i="8" s="1"/>
  <c r="M106" i="8"/>
  <c r="L106" i="8"/>
  <c r="L111" i="8" s="1"/>
  <c r="K106" i="8"/>
  <c r="J106" i="8"/>
  <c r="J111" i="8" s="1"/>
  <c r="I106" i="8"/>
  <c r="H106" i="8"/>
  <c r="H111" i="8" s="1"/>
  <c r="T103" i="8"/>
  <c r="S103" i="8"/>
  <c r="Q103" i="8"/>
  <c r="P103" i="8"/>
  <c r="M103" i="8"/>
  <c r="L103" i="8"/>
  <c r="K103" i="8"/>
  <c r="J103" i="8"/>
  <c r="I103" i="8"/>
  <c r="H103" i="8"/>
  <c r="Q98" i="8"/>
  <c r="P98" i="8"/>
  <c r="O98" i="8"/>
  <c r="O103" i="8" s="1"/>
  <c r="N98" i="8"/>
  <c r="N103" i="8" s="1"/>
  <c r="M98" i="8"/>
  <c r="L98" i="8"/>
  <c r="T95" i="8"/>
  <c r="S95" i="8"/>
  <c r="O95" i="8"/>
  <c r="N95" i="8"/>
  <c r="K95" i="8"/>
  <c r="J95" i="8"/>
  <c r="Q90" i="8"/>
  <c r="P90" i="8"/>
  <c r="O90" i="8"/>
  <c r="N90" i="8"/>
  <c r="M90" i="8"/>
  <c r="M95" i="8" s="1"/>
  <c r="L90" i="8"/>
  <c r="L95" i="8" s="1"/>
  <c r="K90" i="8"/>
  <c r="J90" i="8"/>
  <c r="I90" i="8"/>
  <c r="I95" i="8" s="1"/>
  <c r="H90" i="8"/>
  <c r="H95" i="8" s="1"/>
  <c r="Q88" i="8"/>
  <c r="P88" i="8"/>
  <c r="P95" i="8" s="1"/>
  <c r="T87" i="8"/>
  <c r="S87" i="8"/>
  <c r="Q87" i="8"/>
  <c r="P87" i="8"/>
  <c r="N87" i="8"/>
  <c r="L87" i="8"/>
  <c r="J87" i="8"/>
  <c r="H87" i="8"/>
  <c r="P82" i="8"/>
  <c r="O82" i="8"/>
  <c r="O87" i="8" s="1"/>
  <c r="N82" i="8"/>
  <c r="M82" i="8"/>
  <c r="M87" i="8" s="1"/>
  <c r="L82" i="8"/>
  <c r="K82" i="8"/>
  <c r="K87" i="8" s="1"/>
  <c r="J82" i="8"/>
  <c r="I82" i="8"/>
  <c r="I87" i="8" s="1"/>
  <c r="H82" i="8"/>
  <c r="T79" i="8"/>
  <c r="S79" i="8"/>
  <c r="P79" i="8"/>
  <c r="O79" i="8"/>
  <c r="K79" i="8"/>
  <c r="J79" i="8"/>
  <c r="I79" i="8"/>
  <c r="Q74" i="8"/>
  <c r="Q79" i="8" s="1"/>
  <c r="P74" i="8"/>
  <c r="O74" i="8"/>
  <c r="N74" i="8"/>
  <c r="N79" i="8" s="1"/>
  <c r="M74" i="8"/>
  <c r="M79" i="8" s="1"/>
  <c r="L74" i="8"/>
  <c r="K74" i="8"/>
  <c r="H74" i="8"/>
  <c r="H79" i="8" s="1"/>
  <c r="L72" i="8"/>
  <c r="T71" i="8"/>
  <c r="S71" i="8"/>
  <c r="N71" i="8"/>
  <c r="L71" i="8"/>
  <c r="J71" i="8"/>
  <c r="H71" i="8"/>
  <c r="P68" i="8"/>
  <c r="Q66" i="8"/>
  <c r="Q71" i="8" s="1"/>
  <c r="P66" i="8"/>
  <c r="O66" i="8"/>
  <c r="O71" i="8" s="1"/>
  <c r="N66" i="8"/>
  <c r="M66" i="8"/>
  <c r="M71" i="8" s="1"/>
  <c r="L66" i="8"/>
  <c r="K66" i="8"/>
  <c r="K71" i="8" s="1"/>
  <c r="J66" i="8"/>
  <c r="I66" i="8"/>
  <c r="I71" i="8" s="1"/>
  <c r="H66" i="8"/>
  <c r="P64" i="8"/>
  <c r="T63" i="8"/>
  <c r="S63" i="8"/>
  <c r="Q63" i="8"/>
  <c r="P63" i="8"/>
  <c r="O63" i="8"/>
  <c r="N63" i="8"/>
  <c r="M63" i="8"/>
  <c r="L63" i="8"/>
  <c r="I63" i="8"/>
  <c r="H63" i="8"/>
  <c r="Q58" i="8"/>
  <c r="P58" i="8"/>
  <c r="K58" i="8"/>
  <c r="K63" i="8" s="1"/>
  <c r="J58" i="8"/>
  <c r="J63" i="8" s="1"/>
  <c r="I58" i="8"/>
  <c r="H58" i="8"/>
  <c r="T53" i="8"/>
  <c r="S53" i="8"/>
  <c r="Q53" i="8"/>
  <c r="P53" i="8"/>
  <c r="M53" i="8"/>
  <c r="L53" i="8"/>
  <c r="I53" i="8"/>
  <c r="H53" i="8"/>
  <c r="Q48" i="8"/>
  <c r="P48" i="8"/>
  <c r="O48" i="8"/>
  <c r="O53" i="8" s="1"/>
  <c r="N48" i="8"/>
  <c r="N53" i="8" s="1"/>
  <c r="M48" i="8"/>
  <c r="L48" i="8"/>
  <c r="K48" i="8"/>
  <c r="K53" i="8" s="1"/>
  <c r="J48" i="8"/>
  <c r="J53" i="8" s="1"/>
  <c r="I48" i="8"/>
  <c r="H48" i="8"/>
  <c r="T45" i="8"/>
  <c r="S45" i="8"/>
  <c r="Q45" i="8"/>
  <c r="P45" i="8"/>
  <c r="O40" i="8"/>
  <c r="O45" i="8" s="1"/>
  <c r="N40" i="8"/>
  <c r="N45" i="8" s="1"/>
  <c r="M40" i="8"/>
  <c r="M45" i="8" s="1"/>
  <c r="L40" i="8"/>
  <c r="L45" i="8" s="1"/>
  <c r="K40" i="8"/>
  <c r="K45" i="8" s="1"/>
  <c r="J40" i="8"/>
  <c r="J45" i="8" s="1"/>
  <c r="I40" i="8"/>
  <c r="I45" i="8" s="1"/>
  <c r="H40" i="8"/>
  <c r="H45" i="8" s="1"/>
  <c r="T37" i="8"/>
  <c r="S37" i="8"/>
  <c r="Q37" i="8"/>
  <c r="P37" i="8"/>
  <c r="O37" i="8"/>
  <c r="N37" i="8"/>
  <c r="K37" i="8"/>
  <c r="J37" i="8"/>
  <c r="L33" i="8"/>
  <c r="H33" i="8"/>
  <c r="O32" i="8"/>
  <c r="N32" i="8"/>
  <c r="M32" i="8"/>
  <c r="M37" i="8" s="1"/>
  <c r="L32" i="8"/>
  <c r="L37" i="8" s="1"/>
  <c r="K32" i="8"/>
  <c r="J32" i="8"/>
  <c r="I32" i="8"/>
  <c r="I37" i="8" s="1"/>
  <c r="H32" i="8"/>
  <c r="H37" i="8" s="1"/>
  <c r="T29" i="8"/>
  <c r="S29" i="8"/>
  <c r="Q29" i="8"/>
  <c r="P29" i="8"/>
  <c r="O24" i="8"/>
  <c r="O29" i="8" s="1"/>
  <c r="N24" i="8"/>
  <c r="M24" i="8"/>
  <c r="L24" i="8"/>
  <c r="K24" i="8"/>
  <c r="K29" i="8" s="1"/>
  <c r="J24" i="8"/>
  <c r="J29" i="8" s="1"/>
  <c r="I24" i="8"/>
  <c r="I29" i="8" s="1"/>
  <c r="H24" i="8"/>
  <c r="H29" i="8" s="1"/>
  <c r="T21" i="8"/>
  <c r="S21" i="8"/>
  <c r="O21" i="8"/>
  <c r="O54" i="8" s="1"/>
  <c r="N21" i="8"/>
  <c r="M21" i="8"/>
  <c r="L21" i="8"/>
  <c r="Q17" i="8"/>
  <c r="P17" i="8"/>
  <c r="Q16" i="8"/>
  <c r="P16" i="8"/>
  <c r="K16" i="8"/>
  <c r="J16" i="8"/>
  <c r="I16" i="8"/>
  <c r="H16" i="8"/>
  <c r="K500" i="8" l="1"/>
  <c r="I251" i="6"/>
  <c r="I255" i="6" s="1"/>
  <c r="I180" i="6"/>
  <c r="I238" i="6" s="1"/>
  <c r="I239" i="6" s="1"/>
  <c r="M180" i="6"/>
  <c r="M238" i="6" s="1"/>
  <c r="M239" i="6" s="1"/>
  <c r="M245" i="6"/>
  <c r="M255" i="6" s="1"/>
  <c r="O394" i="8"/>
  <c r="J184" i="8"/>
  <c r="I184" i="8"/>
  <c r="M184" i="8"/>
  <c r="M528" i="8"/>
  <c r="K184" i="8"/>
  <c r="O184" i="8"/>
  <c r="K394" i="8"/>
  <c r="L29" i="8"/>
  <c r="L54" i="8" s="1"/>
  <c r="H184" i="8"/>
  <c r="L184" i="8"/>
  <c r="N394" i="8"/>
  <c r="M394" i="8"/>
  <c r="L241" i="8"/>
  <c r="I21" i="8"/>
  <c r="I54" i="8" s="1"/>
  <c r="Q21" i="8"/>
  <c r="Q54" i="8" s="1"/>
  <c r="M29" i="8"/>
  <c r="M54" i="8" s="1"/>
  <c r="M529" i="8" s="1"/>
  <c r="M530" i="8" s="1"/>
  <c r="L79" i="8"/>
  <c r="Q159" i="8"/>
  <c r="I394" i="8"/>
  <c r="H265" i="8"/>
  <c r="H394" i="8" s="1"/>
  <c r="L500" i="8"/>
  <c r="P500" i="8"/>
  <c r="J500" i="8"/>
  <c r="H21" i="8"/>
  <c r="H54" i="8" s="1"/>
  <c r="P21" i="8"/>
  <c r="P54" i="8" s="1"/>
  <c r="P71" i="8"/>
  <c r="P184" i="8" s="1"/>
  <c r="J21" i="8"/>
  <c r="J54" i="8" s="1"/>
  <c r="N29" i="8"/>
  <c r="N54" i="8" s="1"/>
  <c r="N184" i="8"/>
  <c r="L394" i="8"/>
  <c r="P394" i="8"/>
  <c r="Q394" i="8"/>
  <c r="O241" i="8"/>
  <c r="K21" i="8"/>
  <c r="K54" i="8" s="1"/>
  <c r="Q95" i="8"/>
  <c r="Q122" i="8"/>
  <c r="Q127" i="8" s="1"/>
  <c r="Q151" i="8"/>
  <c r="P175" i="8"/>
  <c r="H500" i="8"/>
  <c r="M500" i="8"/>
  <c r="Q427" i="8"/>
  <c r="Q500" i="8" s="1"/>
  <c r="J394" i="8"/>
  <c r="N500" i="8"/>
  <c r="P519" i="8"/>
  <c r="P528" i="8" s="1"/>
  <c r="N529" i="8" l="1"/>
  <c r="N530" i="8" s="1"/>
  <c r="O529" i="8"/>
  <c r="O530" i="8" s="1"/>
  <c r="L529" i="8"/>
  <c r="L530" i="8" s="1"/>
  <c r="K529" i="8"/>
  <c r="K530" i="8" s="1"/>
  <c r="Q184" i="8"/>
  <c r="Q529" i="8" s="1"/>
  <c r="Q530" i="8" s="1"/>
  <c r="H529" i="8"/>
  <c r="H530" i="8" s="1"/>
  <c r="J529" i="8"/>
  <c r="J530" i="8" s="1"/>
  <c r="P529" i="8"/>
  <c r="P530" i="8" s="1"/>
  <c r="I529" i="8"/>
  <c r="I530" i="8" s="1"/>
</calcChain>
</file>

<file path=xl/sharedStrings.xml><?xml version="1.0" encoding="utf-8"?>
<sst xmlns="http://schemas.openxmlformats.org/spreadsheetml/2006/main" count="3931" uniqueCount="760">
  <si>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</si>
  <si>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</si>
  <si>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</si>
  <si>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</si>
  <si>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</si>
  <si>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</si>
  <si>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</si>
  <si>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</si>
  <si>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</si>
  <si>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</si>
  <si>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</si>
  <si>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</si>
  <si>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</si>
  <si>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</si>
  <si>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</si>
  <si>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</si>
  <si>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Iš viso programai:</t>
  </si>
  <si>
    <t>1</t>
  </si>
  <si>
    <t>2</t>
  </si>
  <si>
    <t>3</t>
  </si>
  <si>
    <t>4</t>
  </si>
  <si>
    <t>5</t>
  </si>
  <si>
    <t>6</t>
  </si>
  <si>
    <t>-</t>
  </si>
  <si>
    <t>Pavadinimas</t>
  </si>
  <si>
    <t>PF</t>
  </si>
  <si>
    <t>4 Programa. Modernios rajono infrastruktūros plėtojimo programa</t>
  </si>
  <si>
    <t>3 Strateginis tikslas. Sukurti augimui ir konkurencingumui palankias aplinkos sąlygas</t>
  </si>
  <si>
    <t>Kurti modernią, visuomenės ir verslo poreikius atitinkančią infrastruktūrą ir viešąsias erdves</t>
  </si>
  <si>
    <t>Vykdyti veiklas, susijusias su rajono viešosios infrastruktūros ir teritorijų atnaujinimu ir plėtra</t>
  </si>
  <si>
    <t>ES</t>
  </si>
  <si>
    <t>10</t>
  </si>
  <si>
    <t>11</t>
  </si>
  <si>
    <t>Vietinės reikšmės kelių (gatvių) priežiūra</t>
  </si>
  <si>
    <t>Vykdyti teritorijų planavimą, siekiant valdyti ūkinę veiklą rajone</t>
  </si>
  <si>
    <t>Parengtų (patikslintų) teritorijų planavimo dokumentų skaičius</t>
  </si>
  <si>
    <t>VIP</t>
  </si>
  <si>
    <t>Miestų ir gyvenviečių gatvių apšvietimo modernizavimas ir plėtra</t>
  </si>
  <si>
    <t>Biokuro katilų įrengimas Pakruojo rajono Balsių pagrindinės mokyklos pastatuose</t>
  </si>
  <si>
    <t>Pakruojo žydų sinagogos pastato tvarkyba ir pritaikymas kultūros ir viešosioms reikmėms</t>
  </si>
  <si>
    <t>VšĮ Pakruojo pirminės sveikatos priežiūros centro infrastruktūros atnaujinimas ir teikiamų paslaugų gerinimas</t>
  </si>
  <si>
    <t>13</t>
  </si>
  <si>
    <t>14</t>
  </si>
  <si>
    <t>15</t>
  </si>
  <si>
    <t>Lėšos skirtos apmokėti už techninių projektų parengimą, ekspertizės paslaugų suteikimą, turto draudimą, statybą leidžiančius dokumentus</t>
  </si>
  <si>
    <t xml:space="preserve">Modernizuotų viešosios paskirties pastatų skaičius </t>
  </si>
  <si>
    <t>Modernizuotų viešosios paskirties pastatų skaičius</t>
  </si>
  <si>
    <t>Atliktų viešosios paskirties pastatų modernizacijos darbų dalis (proc.)</t>
  </si>
  <si>
    <t>Sutvarkytų viešųjų erdvių skaičius</t>
  </si>
  <si>
    <t xml:space="preserve">Iš viso uždaviniui </t>
  </si>
  <si>
    <t>Parengtų  techninių projektų, suteiktų ekspertizės paslaugų, apdraustų pastatų ir gautų statybą leidžiančių dokumentų skaičius</t>
  </si>
  <si>
    <t>Modernizuotų viešosios paskirties statinių skaičius</t>
  </si>
  <si>
    <t>Prižiūrimų kelių ir gatvių ilgis (km)</t>
  </si>
  <si>
    <t>Rekonstruotos gatvės ilgis (km)</t>
  </si>
  <si>
    <t>04.04.03.01</t>
  </si>
  <si>
    <t>09.08.01.02</t>
  </si>
  <si>
    <t>04.07.04.01</t>
  </si>
  <si>
    <t>06.04.01.01</t>
  </si>
  <si>
    <t>04.05.01.02</t>
  </si>
  <si>
    <t>SB iš viso:</t>
  </si>
  <si>
    <t>Didinti savivaldybės valdymo efektyvumą ir žmogiškųjų išteklių kompetencijas</t>
  </si>
  <si>
    <t>01.03.01.01</t>
  </si>
  <si>
    <t>Projektų kofinansavimas</t>
  </si>
  <si>
    <t>Projektų kofinansavimo lėšų panaudojimas (proc.)</t>
  </si>
  <si>
    <t>Įrengtų biokuro katilų (su priklausiniais) komplektų skaičius</t>
  </si>
  <si>
    <t>Sutvarkytų teritorijų skaičius</t>
  </si>
  <si>
    <t>Teritorijų planavimo dokumentų rengimas ir tikslinimas (ne projektinėmis lėšomis)</t>
  </si>
  <si>
    <t>Modernizuoti rajono viešuosius statinius, gerinant jų techninę būklę ir energetinį efektyvumą</t>
  </si>
  <si>
    <t>Sutvarkytų ir kultūros reikmėms pritaikytų pastatų skaičius</t>
  </si>
  <si>
    <t>Centro infrastruktūros atnaujinimui ir paslaugų gerinimui panaudotų lėšų dalis (proc.)</t>
  </si>
  <si>
    <t>Modernizuotų ir įrengtų gatvių apšvietimo tinklų ilgis (km)</t>
  </si>
  <si>
    <t>P</t>
  </si>
  <si>
    <t>KD</t>
  </si>
  <si>
    <t>V</t>
  </si>
  <si>
    <t>Tinkamai prižiūrėti, sistemingai gerinti ir plėtoti rajono susisiekimo infrastruktūrą</t>
  </si>
  <si>
    <t>Kitų kultūros ir sporto įstaigų statinių modernizavimas</t>
  </si>
  <si>
    <t>04.07.04.01; 04.04.03.01</t>
  </si>
  <si>
    <t>05.03.01.01</t>
  </si>
  <si>
    <t>08.01.01.03</t>
  </si>
  <si>
    <t>04.07.04.01; 08.02.01.01</t>
  </si>
  <si>
    <t>09.08.01.01</t>
  </si>
  <si>
    <t>Pakruojo kultūros centro pritaikymas bendruomenės reikmėms</t>
  </si>
  <si>
    <t>Pakruojo m. Kęstučio gatvės modernizavimas</t>
  </si>
  <si>
    <t>Pakruojo miesto sporto bazės atnaujinimas ir plėtra</t>
  </si>
  <si>
    <t>Pakruojo m. Kruojos upės pakrančių sutvarkymas</t>
  </si>
  <si>
    <t>Išsaugotų, sutvarkytų ar atkurtų įvairaus teritorinio lygmens kraštovaizdžio arealų skaičius</t>
  </si>
  <si>
    <t>04.07.04.01; 07.06.01.02</t>
  </si>
  <si>
    <t>04.07.04.01  01.03.02.01</t>
  </si>
  <si>
    <t>Panaudotų lėšų dalis (proc.)</t>
  </si>
  <si>
    <t>Paskolos planuojamiems ES projektams įgyvendinti</t>
  </si>
  <si>
    <t>22</t>
  </si>
  <si>
    <t>16</t>
  </si>
  <si>
    <t>17</t>
  </si>
  <si>
    <t>19</t>
  </si>
  <si>
    <t>20</t>
  </si>
  <si>
    <t>21</t>
  </si>
  <si>
    <t>23</t>
  </si>
  <si>
    <t>24</t>
  </si>
  <si>
    <t>25</t>
  </si>
  <si>
    <t>Pakruojo m. Kranto g. ir S. Nėries g. dalies modernizavimas</t>
  </si>
  <si>
    <t>Pakruojo rajono transporto priemonių parko atnaujinimas</t>
  </si>
  <si>
    <t>Pėsčiųjų ir dviračių takų plėtra Pakruojo rajone</t>
  </si>
  <si>
    <t>Linkuvos m. kompleksiškas atnaujinimas ir plėtra</t>
  </si>
  <si>
    <t>Linkuvos vaikų lopšelio darželio „Šaltinėlis“ pastato modernizavimas</t>
  </si>
  <si>
    <t>Bendrojo lavinimo ugdymo įstaigų, mokymosi ir ugdymo aplinkų atnaujinimas ir plėtra Pakruojo rajono savivaldybės teritorijoje</t>
  </si>
  <si>
    <t>Pakruojo gaisrinės pastato (unikalus kodas 30734) tvarkyba ir pritaikymas viešosioms ir kultūros reikmėms</t>
  </si>
  <si>
    <t>Socialinio būsto fondo plėtra Pakruojo rajono savivaldybės teritorijoje</t>
  </si>
  <si>
    <t>Linkuvos socialinių paslaugų centro infrastruktūros atnaujinimas ir paslaugų plėtra</t>
  </si>
  <si>
    <t>Pakruojo rajono savivaldybės teikiamų paslaugų ir gyventojų aptarnavimo kokybės gerinimas</t>
  </si>
  <si>
    <t>Pakruojo rajono Linkuvos gimnazijos pastato Linkuvoje, Gimnazijos g. 32, rekonstravimas,</t>
  </si>
  <si>
    <t>09.08.01.01 09.08.01.02</t>
  </si>
  <si>
    <t>26</t>
  </si>
  <si>
    <t>27</t>
  </si>
  <si>
    <t>28</t>
  </si>
  <si>
    <t>Naujai įrengtų ar įsigytų socialinių būstų skaičius</t>
  </si>
  <si>
    <t>18</t>
  </si>
  <si>
    <t>Naujos atviros erdvės vietovėse nuo 1 iki 6 tūkst. gyventojų (išskyrus savivaldybių centrus) (kv. m)</t>
  </si>
  <si>
    <t>Sukurtos arba atnaujintos atviros erdvės miestų vietovėse (kv. m)</t>
  </si>
  <si>
    <t>Sukurti / pagerinti atskiro komunalinių atliekų surinkimo pajėgumai (tonos / metai)</t>
  </si>
  <si>
    <t>Įsigytos naujos ekologiškos viešojo transporto priemonės (skaičius)</t>
  </si>
  <si>
    <t>Sutvarkyti, įrengti ir pritaikyti lankymui kultūros paveldo objektai ir teritorijos (skaičius)</t>
  </si>
  <si>
    <t>Investicijas gavę socialinių paslaugų infrastruktūros objektai (skaičius)</t>
  </si>
  <si>
    <t>29</t>
  </si>
  <si>
    <t>Sveikatos netolygumų mažinimas ir sveiko senėjimo skatinimas Pakruojo rajone</t>
  </si>
  <si>
    <t>Parengtų metodikų, tvarkų ir kitų dokumentų skaičius (3)</t>
  </si>
  <si>
    <t>Apmokytų sveikatos ir kitų specialistų skaičius (50)</t>
  </si>
  <si>
    <t>Atnaujinti / sutvarkyti viešieji pastatai kaimo vietovėse (skaičius)</t>
  </si>
  <si>
    <t>Neformaliojo švietimo infrastruktūros, esančios L. Giros g. 4, Pakruojis, tobulinimas</t>
  </si>
  <si>
    <t xml:space="preserve">Pakruojo m. P. Cvirkos gatvės rekonstrukcija </t>
  </si>
  <si>
    <t xml:space="preserve">Pakruojo m. Vilniaus gatvės rekonstrukcija </t>
  </si>
  <si>
    <t xml:space="preserve">B </t>
  </si>
  <si>
    <t>Pagal veiksmų programą ERPF lėšomis atnaujintos bendrojo ugdymo mokyklos (skaičius)</t>
  </si>
  <si>
    <t>Pagal veiksmų programą ERPF lėšomis atnaujintos ikimokyklinio  ir priešmokyklinio ugdymo mokyklos (skaičius)</t>
  </si>
  <si>
    <t xml:space="preserve">04.07.04.01; </t>
  </si>
  <si>
    <t xml:space="preserve">Viešojo valdymo institucijų darbuotojai, kurie dalyvavo pagal veiksmų programą ESF lėšomis vykdytose veiklose, skirtose stiprinti teikiamų paslaugų ir (ar) aptarnavimo kokybės gerinimui reikalingas kompetencijas (skaičius) </t>
  </si>
  <si>
    <t xml:space="preserve">Pagal veiksmų programą ERPF lėšomis atnaujintos neformaliojo ugdymo įstaigos (skaičius) </t>
  </si>
  <si>
    <t>04.07.04.01 05.03.01.03</t>
  </si>
  <si>
    <t xml:space="preserve">Buvusios Pakruojo m. spaustuvės pastato rekonstrukcija ir pritaikymas muziejaus reikmėms </t>
  </si>
  <si>
    <t>Panaudota lėšų dalis (proc)</t>
  </si>
  <si>
    <t>Viešąsias sveikatos priežiūros paslaugas teikiančių asmens sveikatos priežiūros įstaigų, kuriose modernizuota paslaugų teikimo infrastruktūra (skaičius)</t>
  </si>
  <si>
    <t xml:space="preserve">Projektų  pagal Latvijos ir Lietuvos bendradarbiavimo per sieną 2014–2020 metų programą įgyvendinimas </t>
  </si>
  <si>
    <t>Įgyvendintų projektų skaičius (2)</t>
  </si>
  <si>
    <t xml:space="preserve">Pakruojo m. Pašilio gatvės rekonstrukcija </t>
  </si>
  <si>
    <t>Pakruojo "Žemynos" pagrindinės mokyklos pastato Pakruojyje, P. Mašioto g. 45 rekonstravimas</t>
  </si>
  <si>
    <t>(tūkst. eurų)</t>
  </si>
  <si>
    <t>Viešosios infrastruktūros plėtra Pakruojo rajono Lygumų miestelyje</t>
  </si>
  <si>
    <t>Viešosios infrastruktūros plėtra Pakruojo rajono Žeimelio miestelyje</t>
  </si>
  <si>
    <t>Pakruojo rajono kaimo gyvenamųjų vietovių infrastruktūros kompleksiška plėtra (II etapas)</t>
  </si>
  <si>
    <t>04.05.01.02; 04.07.04.01</t>
  </si>
  <si>
    <t>Projektas įgyvendintas 2015 m.</t>
  </si>
  <si>
    <t>Viešosios infrastruktūros plėtra Pakruojo rajono Klovainių miestelyje</t>
  </si>
  <si>
    <t>Sporto aikštyno L. Giros g. 4, Pakruojo m., plėtra</t>
  </si>
  <si>
    <t xml:space="preserve">04.07.04.01 </t>
  </si>
  <si>
    <t>Pakruojo "Atžalyno" gimnazijos modernizavimas</t>
  </si>
  <si>
    <t>Kraštovaizdžio būklės gerinimas Pakruojo rajono savivaldybės teritorijoje (I etapas)</t>
  </si>
  <si>
    <t>Likviduotų kraštovaizdį darkančių bešeimininkių apleistų statinių ir įrenginių skaičius</t>
  </si>
  <si>
    <t>Kraštovaizdžio būklės gerinimas Pakruojo rajono savivaldybės teritorijoje (II etapas)</t>
  </si>
  <si>
    <t xml:space="preserve"> Pakruojo m. Vienybės aikštės, prieigų prie jos sutvarkymas ir pritaikymas bendruomeniniams ir verslo poreikiams</t>
  </si>
  <si>
    <t>Pakruojo m. Laisvės aikštės sutvarkymas ir pritaikymas bendruomeniniams ir verslo poreikiams</t>
  </si>
  <si>
    <t>Pakruojo m. turgavietės sutvarkymas ir pritaikymas verslo poreikiams</t>
  </si>
  <si>
    <t>Savivaldybes jungiančios turizmo informacinės infrastruktūros plėtra Šiaulių regione</t>
  </si>
  <si>
    <t>Įrengti ženklinimo infrastruktūros objektai</t>
  </si>
  <si>
    <t>Pakruojo m. Marko Šreiberio gatvės rekonstrukcija</t>
  </si>
  <si>
    <t>Viešosios infrastruktūros sutvarkymas Pakruojo rajono Dvariškių kaime</t>
  </si>
  <si>
    <t>Viešosios infrastruktūros sutvarkymas Pakruojo rajono Pašvitinio seniūnijos Pamūšio kaime</t>
  </si>
  <si>
    <t>Viešosios infrastruktūros sutvarkymas Pakruojo rajono Žeimelio miestelyje</t>
  </si>
  <si>
    <t>Pakruojo rajono Mikniūnų kaimo vandens gerinimo įrenginių statyba ir vandentiekio tinklų rekonstrukcija</t>
  </si>
  <si>
    <t>Pakruojo rajono Draudelių kaimo vandens gerinimo įrenginių statyba ir vandentiekio tinklų rekonstrukcija</t>
  </si>
  <si>
    <t>Sukurtos/atnaujintos vietinės vandens tiekimo/gerinimo sistemos kaimo vietovėse (skaičius)</t>
  </si>
  <si>
    <t>Pakruojo rajono Medikonių kaimo vandens gerinimo įrenginių statyba ir vandentiekio tinklų rekonstrukcija</t>
  </si>
  <si>
    <t>Pakruojo rajono Rimšonių kaimo vandentiekio tinklų plėtra</t>
  </si>
  <si>
    <t>Investicijos į ilgalaikį turtą</t>
  </si>
  <si>
    <t>Komunalinių atliekų rūšiuojamojo surinkimo infrastruktūros plėtra Šiaulių regione</t>
  </si>
  <si>
    <t>2018-ųjų m. asignavimų projektas</t>
  </si>
  <si>
    <t>2019- ųjų m. asignavimų projektas</t>
  </si>
  <si>
    <t>04.09.01.01</t>
  </si>
  <si>
    <t>Vykdyti rajono teritorijų, viešosios ir inžinerinės infrastruktūros, komunalinio ūkio ir socialinio būsto fondo plėtrą</t>
  </si>
  <si>
    <t>Dalies patalpų esančių Pakruojo rajone Guostagalio kaime pritaikymas bendruomeninėms reikmėms</t>
  </si>
  <si>
    <t xml:space="preserve">Pritaikytų patalpų plotas (kv. m) </t>
  </si>
  <si>
    <t>Vietinės reikšmės kelių ir gatvių modernizavimas ir plėtra (pagal sąrašą)</t>
  </si>
  <si>
    <t>Dalies Pakruojo m. S. Dariaus ir S. Girėno gatvės šaligatvių kapitalinis remontas (nuo L. Giros iki Šiaulių g.)</t>
  </si>
  <si>
    <t>Sutvarkyto šaligatvio ilgis (km)</t>
  </si>
  <si>
    <t>Viešosios paskirties pastatų energetiniai auditai, galimybių studijos, investicijų projektai, projektiniai pasiūlymai, paraiškos, tyrimai, apklausos</t>
  </si>
  <si>
    <t>Įrengtų naujų dviračių ir / ar pėsčiųjų takų ir / ar trasų ilgis (km) (5,6)</t>
  </si>
  <si>
    <t>30</t>
  </si>
  <si>
    <t>Viešosios paskirties pastato, esančio L. Giros g. 4, Pakruojis, modernizavimas</t>
  </si>
  <si>
    <t>Įgyvendintų projektų skaičius (1)</t>
  </si>
  <si>
    <t>Pėsčiųjų ir dviračių takų įrengimas Pakruojo miesto L. Giros g.</t>
  </si>
  <si>
    <t>Įrengto pėsčiųjų ir dviračio tako ilgis (km)</t>
  </si>
  <si>
    <t>Pakruojo rajono savivaldybės vietinės reikšmės kelių ir gatvių inventorizacija, įregistruojant Nekilnojamojo turto registre</t>
  </si>
  <si>
    <t>Pakruojo "Atžalyno" gimnazijos sporto aikštyno atnaujinimas</t>
  </si>
  <si>
    <t xml:space="preserve"> MODERNIOS RAJONO INFRASTRUKTŪROS PLĖTOJIMO PROGRAMOS NR. 4</t>
  </si>
  <si>
    <t>2017 METŲ ĮGYVENDINIMO ATASKAITA</t>
  </si>
  <si>
    <t>2017 m. asignavimų projektas patvirtintas taryboje</t>
  </si>
  <si>
    <t>faktas</t>
  </si>
  <si>
    <t>2017 m.</t>
  </si>
  <si>
    <t>Pastabos (paaiškinimai dėl nukrypimo nuo vertinimo kriterijaus plano)</t>
  </si>
  <si>
    <t>Per 2017 m. parengti: 3  investicijų projektai, 4 projektiniai pasiūlymai, 2 paraiškos. Atliktas 1 tyrimas. Atlikta 1 apklausa. Išlaidos apmokėtos iš 1.1.3 priemonei skirto finansavimo</t>
  </si>
  <si>
    <t>Atliktų energetinių auditų, parengtų galimybių studijų, investicijų projektų, projektinių pasiūlymų, paraiškų, tyrimų, apklausų skaičius</t>
  </si>
  <si>
    <t>Per 2017 m. parengta 12 techninių projektų ir suteiktos 7 ekspertizės paslaugos.</t>
  </si>
  <si>
    <t>2017 m. asignavimų vykdymas</t>
  </si>
  <si>
    <t>2017 m. pateikta paraiška dėl projekto įgyvendinimo.</t>
  </si>
  <si>
    <t>2017 m. spalio 3 d. pasirašyta projekto finansavimo sutartis Nr. 07.1.1-CPVA-R-905-61-0002</t>
  </si>
  <si>
    <t>2017 m. pateikta paraiška dėl projekto įgyvendinimo</t>
  </si>
  <si>
    <t>???</t>
  </si>
  <si>
    <t>2017 m. gruodžio 29 d. pasirašyta projekto finansavimo sutartis Nr. 07.1.1-CPVA-R-905-61-0003</t>
  </si>
  <si>
    <t>Techninės priežiūros paslaugos įsigytos pigiau nei buvo planuota.</t>
  </si>
  <si>
    <t>2017 m. spalio 27 d. pasirašyta projekto finansavimo sutartis Nr. 06.2.1-TID-R-511-61-0003</t>
  </si>
  <si>
    <t>Projekto įgyvendinimui 2017 m. lėšų nebuvo skirta. Projektas perkeltas į Pakruojo rajono savivaldybės 2018-2020 m. strateginį veiklos planą.</t>
  </si>
  <si>
    <t>Projektas tęstinis. Projektas perkeltas į Pakruojo rajono savivaldybės 2018-2020 m. strateginį veiklos planą.</t>
  </si>
  <si>
    <t>AUKŠTOS UGDYMO KOKYBĖS IR MOKYMOSI VISĄ GYVENIMĄ SKATINIMO PROGRAMOS NR. 2</t>
  </si>
  <si>
    <t xml:space="preserve">2018 m. asignavimų projektas </t>
  </si>
  <si>
    <t xml:space="preserve">2019 m. asignavimų projektas </t>
  </si>
  <si>
    <t xml:space="preserve">Iš viso </t>
  </si>
  <si>
    <t xml:space="preserve">2017 m. </t>
  </si>
  <si>
    <t>1 Strateginis tikslas. Skatinti kiekvieną gyventoją realizuoti savo galimybes mokantis, kuriant, tiriant, tikslinga veikla prisiimant atsakomybę už save, valstybę ir aplinką</t>
  </si>
  <si>
    <t>2 programa. Aukštos ugdymo kokybės ir mokymosi visą gyvenimą skatinimo programa</t>
  </si>
  <si>
    <t>Teikti kokybiškas, prieinamas ir gyventojų poreikius atitinkančias švietimo paslaugas</t>
  </si>
  <si>
    <t>Įgyvendinti formaliojo ir neformaliojo  ugdymo (si) programas bei formuoti saugią ugdymo aplinką</t>
  </si>
  <si>
    <t>Formaliojo ugdymo programų įgyvendinimas savivaldybės bendrojo ugdymo  mokyklose</t>
  </si>
  <si>
    <t>09.01.02.01;  09.02.01.01; 09.02.02.01</t>
  </si>
  <si>
    <t>9.1-9.11; 9.24</t>
  </si>
  <si>
    <t>K</t>
  </si>
  <si>
    <t>Mokyklų skaičius, kuriose įgyvendinamas formalusis ugdymas</t>
  </si>
  <si>
    <t>B</t>
  </si>
  <si>
    <t>E</t>
  </si>
  <si>
    <t>S</t>
  </si>
  <si>
    <t>ped</t>
  </si>
  <si>
    <t>optim</t>
  </si>
  <si>
    <t>1.1</t>
  </si>
  <si>
    <t>09.02.02.01</t>
  </si>
  <si>
    <t>9.1</t>
  </si>
  <si>
    <t>Atžalyno</t>
  </si>
  <si>
    <t>gimnazija</t>
  </si>
  <si>
    <t>1.2</t>
  </si>
  <si>
    <t>9.2</t>
  </si>
  <si>
    <t xml:space="preserve">Linkuvos </t>
  </si>
  <si>
    <t>1.3</t>
  </si>
  <si>
    <t>09.02.01.01</t>
  </si>
  <si>
    <t>9.3</t>
  </si>
  <si>
    <t>Lygumų</t>
  </si>
  <si>
    <t>pagrindinė</t>
  </si>
  <si>
    <t>1.4</t>
  </si>
  <si>
    <t>9.4</t>
  </si>
  <si>
    <t xml:space="preserve">Rozalimo </t>
  </si>
  <si>
    <t>1.5</t>
  </si>
  <si>
    <t>9.5</t>
  </si>
  <si>
    <t>Žeimelio</t>
  </si>
  <si>
    <t>optimiz</t>
  </si>
  <si>
    <t>1.6</t>
  </si>
  <si>
    <t xml:space="preserve"> 09.02.01.01</t>
  </si>
  <si>
    <t>9.6</t>
  </si>
  <si>
    <t>Balsių</t>
  </si>
  <si>
    <t>1.7</t>
  </si>
  <si>
    <t>9.7</t>
  </si>
  <si>
    <t>Degesių</t>
  </si>
  <si>
    <t>1.8</t>
  </si>
  <si>
    <t>9.8</t>
  </si>
  <si>
    <t xml:space="preserve">Klovainių </t>
  </si>
  <si>
    <t>1.9</t>
  </si>
  <si>
    <t>9.9</t>
  </si>
  <si>
    <t>Žemynos</t>
  </si>
  <si>
    <t>1.10</t>
  </si>
  <si>
    <t>9.10</t>
  </si>
  <si>
    <t>Pašvitinio</t>
  </si>
  <si>
    <t>1.11</t>
  </si>
  <si>
    <t>9.11</t>
  </si>
  <si>
    <t>Šukionių</t>
  </si>
  <si>
    <t>1.12</t>
  </si>
  <si>
    <t>09.01.02.01</t>
  </si>
  <si>
    <t>9.24</t>
  </si>
  <si>
    <t>Stačiūnų</t>
  </si>
  <si>
    <t>UDC</t>
  </si>
  <si>
    <t>Neformaliojo švietimo  programų įgyvendinimas neformalųjį švietimą  teikiančiose įstaigose</t>
  </si>
  <si>
    <t>09.01.01.01; 09.01.02.01; 09.05.01.01</t>
  </si>
  <si>
    <t xml:space="preserve">9.15-9.18;     9.20-9.24     </t>
  </si>
  <si>
    <t>Neformaliojo švietimo įstaigų skaičius, kuriose įgyvendinamos neformaliojo švietimo programos</t>
  </si>
  <si>
    <t>2.1</t>
  </si>
  <si>
    <t>09.05.01.01</t>
  </si>
  <si>
    <t>9.15</t>
  </si>
  <si>
    <t>Muzikos</t>
  </si>
  <si>
    <t>mokykla</t>
  </si>
  <si>
    <t>2.2</t>
  </si>
  <si>
    <t>09.01.01.01; 09.01.02.01</t>
  </si>
  <si>
    <t>9.16</t>
  </si>
  <si>
    <t>Saulutė</t>
  </si>
  <si>
    <t>2.3</t>
  </si>
  <si>
    <t>9.17</t>
  </si>
  <si>
    <t>Vyturėlis</t>
  </si>
  <si>
    <t>2.4</t>
  </si>
  <si>
    <t>9.18</t>
  </si>
  <si>
    <t>Šaltinėlis</t>
  </si>
  <si>
    <t>2.6</t>
  </si>
  <si>
    <t>9.20</t>
  </si>
  <si>
    <t>Petrašiūnų</t>
  </si>
  <si>
    <t>darželis</t>
  </si>
  <si>
    <t>2.7</t>
  </si>
  <si>
    <t>9.21</t>
  </si>
  <si>
    <t>2.8</t>
  </si>
  <si>
    <t>9.22</t>
  </si>
  <si>
    <t>2.9</t>
  </si>
  <si>
    <t>9.23</t>
  </si>
  <si>
    <t>Žvirblonių</t>
  </si>
  <si>
    <t>2018 m prie IU įst</t>
  </si>
  <si>
    <t>Ugdymo proceso organizavimo ir prieinamumo užtikrinimas švietimo įstaigose</t>
  </si>
  <si>
    <t>09.05.01.03</t>
  </si>
  <si>
    <t xml:space="preserve">Švietimo </t>
  </si>
  <si>
    <t>1;9</t>
  </si>
  <si>
    <t>skyrius</t>
  </si>
  <si>
    <t>Ugdymo užtikrinimas VšĮ nevalstybinins katalikų lopšelis-darželis "Varpelis"</t>
  </si>
  <si>
    <t xml:space="preserve"> 09.01.01.01;  09.01.02.01 </t>
  </si>
  <si>
    <t>Finansuojamų nevalstybinių ugdymo įstaigų skaičius</t>
  </si>
  <si>
    <t>Varpelis</t>
  </si>
  <si>
    <t>Neformalus vaikų švietimas</t>
  </si>
  <si>
    <t>NVŠ</t>
  </si>
  <si>
    <t>9</t>
  </si>
  <si>
    <t>Neformaliajame vaikų švietime dalyvaujančių vaikų skaičiaus procentas</t>
  </si>
  <si>
    <t>NVŠ 2016</t>
  </si>
  <si>
    <t>Teikti pagalbą mokiniui, mokytojui, mokyklai bei didinti ugdymo paslaugų prieinamumą</t>
  </si>
  <si>
    <t>Švietimo ir pedagoginės psichologinės pagalbos teikimas savivaldybės švietimo įstaigų mokiniams ir mokytojams</t>
  </si>
  <si>
    <t>09.05.01.03;  09.08.01.01.</t>
  </si>
  <si>
    <t xml:space="preserve">9.12   </t>
  </si>
  <si>
    <t>Pagalbą gavusių mokytojų ir kitų rajono gyventojų skaičius</t>
  </si>
  <si>
    <t>Švietimo</t>
  </si>
  <si>
    <t>centras</t>
  </si>
  <si>
    <t>Pagalbą gavusių mokinių skaičius</t>
  </si>
  <si>
    <t>psichol</t>
  </si>
  <si>
    <t>Mokinių pavėžėjimas</t>
  </si>
  <si>
    <t>09.06.01.01</t>
  </si>
  <si>
    <t>9.1-9.7; 9.9-9.11;   9.13;          5</t>
  </si>
  <si>
    <t>Pavėžėtų mokinių skaičius</t>
  </si>
  <si>
    <t>2.5</t>
  </si>
  <si>
    <t xml:space="preserve"> gimnazija</t>
  </si>
  <si>
    <t>Žemyna</t>
  </si>
  <si>
    <t>2.10</t>
  </si>
  <si>
    <t>2.11</t>
  </si>
  <si>
    <t>9.13</t>
  </si>
  <si>
    <t>spec mok</t>
  </si>
  <si>
    <t>2.12</t>
  </si>
  <si>
    <t>ŽŪM</t>
  </si>
  <si>
    <t xml:space="preserve">Linkuvos spec. mokyklos išlaikymas </t>
  </si>
  <si>
    <t xml:space="preserve">Linkuvos              specialiosios mokyklos mokinių skaičius </t>
  </si>
  <si>
    <t>specialioji</t>
  </si>
  <si>
    <t>Z</t>
  </si>
  <si>
    <t>optimizav</t>
  </si>
  <si>
    <t>Mokinių skaitymo gebėjimo gerinimas Pakruojo rajono Balsių, Klovainių, Rozalimo ir "Žemynos" pagrindinėse mokyklose</t>
  </si>
  <si>
    <t>9.4;9.6; 9.8; 9.9</t>
  </si>
  <si>
    <t>Įgyvendintų projektų skaičius</t>
  </si>
  <si>
    <t>Mokinių bendrojo ugdymo padsiekimų gerinimas Pakruojo rajono Linkuvos, Žeimelio gimnazijose, Lygumų ir Pašvitinio pagrindinėse mokyklose</t>
  </si>
  <si>
    <t>09.02.01.01;  09.02.02.01</t>
  </si>
  <si>
    <t>9.2;9.5; 9.3; 9.10</t>
  </si>
  <si>
    <t>Specialiojo ugdymo paslaugų suteikimas</t>
  </si>
  <si>
    <t>09.08.01.02.</t>
  </si>
  <si>
    <t>Neformaliojo suaugusiųjų švietimo ir tęstinio mokymo programų įgyvendinimas</t>
  </si>
  <si>
    <t>Ar reikia?</t>
  </si>
  <si>
    <t>9.12</t>
  </si>
  <si>
    <t>Įgyvendintų programų skaičius</t>
  </si>
  <si>
    <t>Programos koordinatorė:  Pakruojo rajono savivaldybės administracijos  Švietimos skyriaus vedėja  Irena Mažulienė</t>
  </si>
  <si>
    <t>Ar reikia 1.2.7  priemonę</t>
  </si>
  <si>
    <t>pedag DU</t>
  </si>
  <si>
    <t>DU išlyg</t>
  </si>
  <si>
    <t>Optimizav mokyklų</t>
  </si>
  <si>
    <t>Šv Centro psichol et</t>
  </si>
  <si>
    <t>projektai</t>
  </si>
  <si>
    <t>skirt</t>
  </si>
  <si>
    <t>plius</t>
  </si>
  <si>
    <t>1.2.7 priemonė</t>
  </si>
  <si>
    <t>2017 m.asignavimų projektas patvierintas taryboje</t>
  </si>
  <si>
    <t>SOCIALIAI SAUGIOS IR SVEIKOS VISUOMENĖS FORMAVIMO PROGRAMOS NR. 5</t>
  </si>
  <si>
    <t xml:space="preserve">  2017 METŲ ĮGYVENDYNIMO ATASKAITA</t>
  </si>
  <si>
    <t>Pastabos                    (paaiškinimai dėl nukrypimo nuo vertinimo kriterijaus plano)</t>
  </si>
  <si>
    <t>2019-ųjų m. asignavimų projektas</t>
  </si>
  <si>
    <t>2 Strateginis tikslas. Gerinti gyvenimo kokybę, stiprinti socialinę sanglaudą ir užtikrinti visiems lygias galimybes</t>
  </si>
  <si>
    <t>5 Programa. Socialiai saugios ir sveikos visuomenės formavimo programa</t>
  </si>
  <si>
    <t>Gerinti gyvenimo kokybę, stiprinti socialinę sanglaudą ir užtikrinti visiems lygias galimybes</t>
  </si>
  <si>
    <t>Užtikrinti socialinių išmokų ir kompensacijų mokėjimą rajono gyventojams</t>
  </si>
  <si>
    <t>Šalpos išmokų skyrimas ir mokėjimas</t>
  </si>
  <si>
    <t>10.01.02.04</t>
  </si>
  <si>
    <t>7</t>
  </si>
  <si>
    <t>Šalpos išmokų gavėjų skaičius</t>
  </si>
  <si>
    <t>Padidėjo gavėjo skaičius</t>
  </si>
  <si>
    <t>Transporto išlaidų bei specialiųjų lengvųjų automobilių įsigijimo išlaidų kompensacijų skyrimas ir mokėjimas</t>
  </si>
  <si>
    <t>10.01.02.40</t>
  </si>
  <si>
    <t>Transporto išlaidų kompensacijų gavėjų skaičius</t>
  </si>
  <si>
    <t>Sumažėjo gavėjų skaičius.</t>
  </si>
  <si>
    <t>Kitos socialinės paramos išmokų skyrimas ir mokėjimas</t>
  </si>
  <si>
    <t>10.02.01.40</t>
  </si>
  <si>
    <t>Ginkluoto pasipriešinimo dalyvių išmokų gavėjų skaičius</t>
  </si>
  <si>
    <t>Gavėjų nebuvo</t>
  </si>
  <si>
    <t>Išmokų vaikams skyrimas ir mokėjimas</t>
  </si>
  <si>
    <t>10.04.01.40</t>
  </si>
  <si>
    <t>Išmokų vaikams gavėjų skaičius</t>
  </si>
  <si>
    <t>Padidėjo gavėjų skaičius</t>
  </si>
  <si>
    <t xml:space="preserve">Socialinių pašalpų skyrimas ir mokėjimas  </t>
  </si>
  <si>
    <t>10.07.01.01</t>
  </si>
  <si>
    <t>7,14,19,16,21,20,15,17</t>
  </si>
  <si>
    <t>Socialinių pašalpų gavėjų skaičius</t>
  </si>
  <si>
    <t>Sumažejo socialinių pašalpų gavėjų skaičius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</si>
  <si>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</si>
  <si>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</si>
  <si>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</si>
  <si>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</si>
  <si>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</si>
  <si>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</si>
  <si>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</si>
  <si>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</si>
  <si>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</si>
  <si>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 xml:space="preserve">Kompensacijų už būsto šildymą, kietą kurą, šaltą ir karštą vandenį ir kompensacijų nepriklausomybės gynėjams, nukentėjusiems nuo 1991 m. sausio 11-13 d. agresijos skyrimas ir mokėjimas  </t>
  </si>
  <si>
    <t>10.06.01.01</t>
  </si>
  <si>
    <t>Kompensacijų  gavėjų skaičius</t>
  </si>
  <si>
    <t>Sumažėjo gavėjų skaičius</t>
  </si>
  <si>
    <t>Laidojimo pašalpų skyrimas ir mokėjimas</t>
  </si>
  <si>
    <t>10.03.01.01</t>
  </si>
  <si>
    <t>D</t>
  </si>
  <si>
    <t>Laidojimo pašalpų gavėjų skaičius</t>
  </si>
  <si>
    <t>8</t>
  </si>
  <si>
    <t>Piniginės socialinė paramos mokiniams skyrimas ir užtikrinimas</t>
  </si>
  <si>
    <t>Mokinių, gaunančių nemokamą maitinimą ir paramą mokinio reikmenims įsigyti, skaičius</t>
  </si>
  <si>
    <t>Kitos socialinės paramos išmokos (vienišų asmenų laidojimo išlaidos, lengvatos dėl vietinės rinkliavos už šiukšlių išvežimą, sociakultūrinė programa ir kitos)</t>
  </si>
  <si>
    <t>10.07.01.02</t>
  </si>
  <si>
    <t>Kitos socialinės paramos gavėjų skaičius</t>
  </si>
  <si>
    <t xml:space="preserve">Transporto lengvatų taikymo kompensavimas </t>
  </si>
  <si>
    <t>Kompensuotų lengvatinių vežėjimų skaičius</t>
  </si>
  <si>
    <t xml:space="preserve">Kredito, paimto daugiabučiam namui atnaujinti (modernizuoti) ir palūkanų apmokėjimas už asmenis, turinčius teisę į būsto šildymo išlaidų kompensaciją </t>
  </si>
  <si>
    <t>Asmenų, turinčių teisę į būsto šildymo išlaidų kompensaciją, skaičius</t>
  </si>
  <si>
    <t>12</t>
  </si>
  <si>
    <t>Kitos socialinės apsaugos ir rūpybos funkcijos</t>
  </si>
  <si>
    <t>10.06.01.40</t>
  </si>
  <si>
    <t>Savivaldybės biudžeto socialinės apsaugos funkcijų administravimas (proc.)</t>
  </si>
  <si>
    <t>Kitos socialinės paramos išmokos</t>
  </si>
  <si>
    <t>14-21</t>
  </si>
  <si>
    <t>Vyr. specialistų  skaičius</t>
  </si>
  <si>
    <t>13.1</t>
  </si>
  <si>
    <t>13.2</t>
  </si>
  <si>
    <t>13.3</t>
  </si>
  <si>
    <t>13.4</t>
  </si>
  <si>
    <t>13.5</t>
  </si>
  <si>
    <t>13.6</t>
  </si>
  <si>
    <t>13.7</t>
  </si>
  <si>
    <t>13.8</t>
  </si>
  <si>
    <t>Studijų rėmimas</t>
  </si>
  <si>
    <t>Gavėjų skaičius</t>
  </si>
  <si>
    <t xml:space="preserve"> -</t>
  </si>
  <si>
    <t>Gerinti gyvenimo sąlygas bei mažinti socialinę atskirtį rajone</t>
  </si>
  <si>
    <t>01.06.01.02.</t>
  </si>
  <si>
    <t>Valstybės dotacijų, skirtų vykdyti valstybinėms (valstybės perduotoms savivaldybėms) funkcijoms, įsisavinimas (proc.)</t>
  </si>
  <si>
    <t>Socialinė priežiūra socialinės rizikos šeimoms teikti</t>
  </si>
  <si>
    <t>10.04.01.01</t>
  </si>
  <si>
    <t>14-21-7.1</t>
  </si>
  <si>
    <t>Valstybės biudžeto lėšų,  soc. rizikos funkcijoms vykdyti, įsisavinimas (proc.)</t>
  </si>
  <si>
    <t>Viešųjų darbų programos įgyvendinimas</t>
  </si>
  <si>
    <t>10.05.01.01.</t>
  </si>
  <si>
    <t>1.5,14,17,19,15,16,21,20,18</t>
  </si>
  <si>
    <t>Pagal Viešųjų darbų programą įdarbintų asmenų skaičius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</si>
  <si>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</si>
  <si>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</si>
  <si>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</si>
  <si>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</si>
  <si>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</si>
  <si>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</si>
  <si>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</si>
  <si>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</si>
  <si>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</si>
  <si>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Socialinio būsto atnaujinimas,soc.busto fondo plėtra</t>
  </si>
  <si>
    <t>06.01.01.01</t>
  </si>
  <si>
    <t>Suremontuotų socialinių butų skaičius</t>
  </si>
  <si>
    <t>AA</t>
  </si>
  <si>
    <t>Daugiabučių namų atnaujinimo (modernizavimas) administravimas</t>
  </si>
  <si>
    <t>06.06.01.01.</t>
  </si>
  <si>
    <t>Daugiabučių namų, prie kurių atnaujinimo prisidėta, skaičius</t>
  </si>
  <si>
    <t>Būsto nuomos ar išperkamosios būsto nuomos mokesčių dalies kompensavimas</t>
  </si>
  <si>
    <t>Efektyviai organizuoti socialinių paslaugų teikimą ir skatinti neįgaliųjų socialinę integraciją</t>
  </si>
  <si>
    <t>Socialinės globos paslaugų teikimas asmenims su sunkia negalia įstaigose, kurių savininkė/ dalininkė yra valstybė ar savivaldybė arba nevyriausybinė organizacija</t>
  </si>
  <si>
    <t>10.01.02.02</t>
  </si>
  <si>
    <t>Socialinės globos paslaugas gavusių asmenų skaičius</t>
  </si>
  <si>
    <t>Socialinis paslaugų teikimas, įstaigose, kurių savininkė/dalininkė yra valstybė ar savivaldybė arba nevyriausybinė organizacija</t>
  </si>
  <si>
    <t xml:space="preserve">Būsto pritaikymas žmonėms su negalia </t>
  </si>
  <si>
    <t>10.01.02.01  06.06.01.01</t>
  </si>
  <si>
    <t>Žmonėms su negalia pritaikytų būstų skaičius</t>
  </si>
  <si>
    <t>Socialinės reabilitacijos neįgaliesiems bendruomenėje projektų finansavimas ir įgyvendinimas</t>
  </si>
  <si>
    <t>10.01.02.01</t>
  </si>
  <si>
    <t>7,6</t>
  </si>
  <si>
    <t>Socialinės reabilitacijos projektuose dalyvavusių asmenų skaičius</t>
  </si>
  <si>
    <t>Kompleksinių paslaugų teikimo šeimai programos įgyvendinimas</t>
  </si>
  <si>
    <t>Iš viso:</t>
  </si>
  <si>
    <t>Neįgaliųjų socialinė integracija</t>
  </si>
  <si>
    <t>Integralios pagalbos į namus programos įgyvendinimas</t>
  </si>
  <si>
    <t>Socialinių įstaigų, kuriose atlikti remonto darbai, skaičius</t>
  </si>
  <si>
    <t>Socialinių įstaigų remontas</t>
  </si>
  <si>
    <t>10.02.01.02;       10.07.01.01</t>
  </si>
  <si>
    <t>7.1</t>
  </si>
  <si>
    <t>7.2</t>
  </si>
  <si>
    <t>7.3</t>
  </si>
  <si>
    <t>Savivaldybės socialinių paslaugų įstaigų veiklos organizavimas</t>
  </si>
  <si>
    <t>10.02.01.02       10.07.01.01 10.01.02.01</t>
  </si>
  <si>
    <t>7.1, 7.2, 7.3</t>
  </si>
  <si>
    <t>Socialines paslaugas gavusių asmenų skaičius</t>
  </si>
  <si>
    <t>6.1</t>
  </si>
  <si>
    <t>6.2</t>
  </si>
  <si>
    <t>6.3</t>
  </si>
  <si>
    <t>Siekti gyventojų sveikatingumo rodiklių gerėjimo, efektyviai organizuojant sveikatos priežiūros įstaigų darbą</t>
  </si>
  <si>
    <t>Visuomenės sveikatos biuro veiklos užtikrinimas</t>
  </si>
  <si>
    <t>07.04.01.02</t>
  </si>
  <si>
    <t>7.4</t>
  </si>
  <si>
    <t xml:space="preserve">Sveikatos priežiūros specialistų etatų skaičius </t>
  </si>
  <si>
    <t>Sveikatos priežiūros rėmimas įgyvendinant Visuomenės sveikatos rėmimo specialiąją programą</t>
  </si>
  <si>
    <t>07.06.01.02 07.04.01.02</t>
  </si>
  <si>
    <t>Įgyvendintų sveikatos projektų skaičius</t>
  </si>
  <si>
    <t>Sveikatos priežiūros įstaigų pastatų remontas</t>
  </si>
  <si>
    <t>07.04.01.02.</t>
  </si>
  <si>
    <t>Sveikatos priežiūros įstaigų, kuriose atlikti remonto darbai, skaičius</t>
  </si>
  <si>
    <t>Mokinių visuomenės sveikatos priežiūra</t>
  </si>
  <si>
    <t>Sveikatos priežiūros specialistų etatų skaičius mokyklose</t>
  </si>
  <si>
    <t>Sveikatinimo veiklos priemonių įgyvendinimas VšĮ Pakruojo ligoninė</t>
  </si>
  <si>
    <t>07.03.01.01</t>
  </si>
  <si>
    <t>Panaudota lėšų dalis (proc.)</t>
  </si>
  <si>
    <t>Programos koordinatorė: Pakruojo rajono savivaldybės administracijos Socialinės rupybos skyriaus vedėja Daiva Rutkevičienė</t>
  </si>
  <si>
    <t>SAUGIOS APLINKOS KŪRIMO, KŪRYBIŠKUMO, SPORTIŠKUMO IR PILIETIŠKUMO SKATINIMO, TURIZMO PLĖTOJIMO PROGRAMOS NR. 3</t>
  </si>
  <si>
    <t>2017-ųjų m. asignavimai patvirtinti taryboje</t>
  </si>
  <si>
    <t>2017-ųjų m. asignavimų vykdymas</t>
  </si>
  <si>
    <t>Planas</t>
  </si>
  <si>
    <t>Faktas</t>
  </si>
  <si>
    <t>2017-iesiems m.</t>
  </si>
  <si>
    <t>2017-ųjų m.</t>
  </si>
  <si>
    <t>3 Programa. Saugios aplinkos kūrimo, kūrybiškumo, sportiškumo ir pilietiškumo skatinimo, turizmo plėtojimo programa</t>
  </si>
  <si>
    <t>Efektyviai organizuoti kultūros ir sporto įstaigų veiklą, skatinti turizmo plėtrą ir remti bendruomenines iniciatyvas</t>
  </si>
  <si>
    <t>Skatinti kultūrinės veiklos ir turizmo plėtrą rajone</t>
  </si>
  <si>
    <t>Kultūros centrų veiklos organizavimas ir administravimas</t>
  </si>
  <si>
    <t>08.02.01.08</t>
  </si>
  <si>
    <t>6.2,6.3</t>
  </si>
  <si>
    <t>Kultūros centrų paslaugų gavėjų skaičius (tūkst.)</t>
  </si>
  <si>
    <t>Pakruojo Juozo Paukštelio viešosios bibliotekos darbo organizavimas ir administravimas</t>
  </si>
  <si>
    <t>08.02.01.01.</t>
  </si>
  <si>
    <t>Apsilankymų bibliotekose skaičius (tūkst.)</t>
  </si>
  <si>
    <t>Sumažėjo rajono gyentojų skaičius</t>
  </si>
  <si>
    <t>Daugiafunkcių centrų kultūrinės veiklos organizavimas ir administravimas</t>
  </si>
  <si>
    <t>9.22,9.24</t>
  </si>
  <si>
    <t>Daugiafunkcių centrų kultūros paslaugų gavėjų skaičius (tūkst.)</t>
  </si>
  <si>
    <t>Sumažėjo rajono gyventojų skaičius</t>
  </si>
  <si>
    <t>4.1</t>
  </si>
  <si>
    <t>4.2</t>
  </si>
  <si>
    <t>Kultūros paveldo objektų tvarkymas</t>
  </si>
  <si>
    <t>08.02.01.07.</t>
  </si>
  <si>
    <t>Sutvarkytų kultūros paveldo objektų skaičius</t>
  </si>
  <si>
    <t>Paslaugų įsigijimas iš VšĮ Pakruojo poilsio ir turizmo centro</t>
  </si>
  <si>
    <t>04.07.03.01</t>
  </si>
  <si>
    <t>Apsilankiusių lankytojų skaičius (tūkst.)</t>
  </si>
  <si>
    <t>Kultūros įstaigų pastatų remonto darbai</t>
  </si>
  <si>
    <t>08.02.01.01; 08.02.01.08</t>
  </si>
  <si>
    <t>Dainų švenčių tradicijų tęstinumas</t>
  </si>
  <si>
    <t>08.02.01.06.</t>
  </si>
  <si>
    <t>Respublikinėse dainų šventėse dalyvaujančių kolektyvų skaičius</t>
  </si>
  <si>
    <t>Dainų šventė vyks 2018 metais</t>
  </si>
  <si>
    <t>Kultūros įstaigų, kuriose atlikti remonto darbai, skaičius</t>
  </si>
  <si>
    <t>Skatinti mėgėjiško ir profesionalaus sporto plėtrą</t>
  </si>
  <si>
    <t>Pakruojo rajono sporto centro veiklos organizavimas ir administravimas</t>
  </si>
  <si>
    <t>08.01.01.02;0 09.06.01.01;  08.06.01.03</t>
  </si>
  <si>
    <t>6.4</t>
  </si>
  <si>
    <t>Sporto centrą lankančių mokinių skaičius</t>
  </si>
  <si>
    <t xml:space="preserve">Rajone sumažėjo mokinių skaičius </t>
  </si>
  <si>
    <t>Sporto infrastruktūros objektų remonto darbai</t>
  </si>
  <si>
    <t>08.01.01.02</t>
  </si>
  <si>
    <t>Suremontuotų sporto infrastruktūros objektų skaičius</t>
  </si>
  <si>
    <t>Remti nevyriausybinių, jaunimo ir kitų organizacijų iniciatyvas, kuriant patrauklią gyventi ir saugią rajono aplinką</t>
  </si>
  <si>
    <t>Jaunimo organizacijų veiklos skatinimas</t>
  </si>
  <si>
    <t>08.04.01.01</t>
  </si>
  <si>
    <t>Paremtų jaunimo organizacijų skaičius</t>
  </si>
  <si>
    <t>Pateikta 19 paraiškų</t>
  </si>
  <si>
    <t>Nevyriausybinių organizacijų veiklos skatinimas</t>
  </si>
  <si>
    <t>Paremtų nevyriausybinių organizacijų skaičius</t>
  </si>
  <si>
    <t>Pateikta 20 paraiškų</t>
  </si>
  <si>
    <t>Bendruomenių veiklos skatinimas</t>
  </si>
  <si>
    <t>Paremtų bendruomenių skaičius</t>
  </si>
  <si>
    <t>Pateiktos 32 paraiškos</t>
  </si>
  <si>
    <t>Viešosios tvarkos užtikrinimas ir prevencija</t>
  </si>
  <si>
    <t>03.06.01.01</t>
  </si>
  <si>
    <t>1,14-21</t>
  </si>
  <si>
    <t>Įgyvendintų viešosios tvarkos užtikrinimo priemonių skaičius</t>
  </si>
  <si>
    <t>4.3</t>
  </si>
  <si>
    <t>4.4</t>
  </si>
  <si>
    <t>4.5</t>
  </si>
  <si>
    <t>4.6</t>
  </si>
  <si>
    <t>4.7</t>
  </si>
  <si>
    <t>4.8</t>
  </si>
  <si>
    <t>4.9</t>
  </si>
  <si>
    <t>Programos koordinatorė: Pakruojo rajono savivaldybės administracijos Kultūros, paveldosaugos ir viešųjų ryšių skyriaus vedėja Birutė Vanagienė</t>
  </si>
  <si>
    <t>Faktiškai patirta išlaidų suma pagal mokėjimo grafiką.</t>
  </si>
  <si>
    <t>Nebuvo poreikio</t>
  </si>
  <si>
    <t>2017 m. sutavrkyti tualetai, virtuvė, įrengta valgykla, įsigyta virtuvinė įranga. Likę darbai planuojami atlikti gavus finansavimą iš VIP.</t>
  </si>
  <si>
    <t>2018 m. bus sutvarkyta vidaus kiemo lietaus nuotekų nuvedimo sistema.</t>
  </si>
  <si>
    <t>2017 m. iš Valstybės investcijų programos projekto įgyvendinimui lėšų neskirta.</t>
  </si>
  <si>
    <t>2017 m. pateiktas projektinis pasiūlymas dėl projekto įgyvendinimo.</t>
  </si>
  <si>
    <t>2017 m. kovo 27 d. pasirašyta projekto finansavimo sutartis Nr. 08.1.1-CPVA-R-407-61-0001. Pradėtas rengti techninis projektas.</t>
  </si>
  <si>
    <t>2017 m. pateiktos 2 paraiškos dėl projektų įgyvendinimo. Projektų įgyvendinimui skirtas finansavimas.</t>
  </si>
  <si>
    <t>2017 m. parengtas investicijų projektas ir energijos vartojimo auditas.</t>
  </si>
  <si>
    <t>.Projektas tęstinis. Projektas perkeltas į Pakruojo rajono savivaldybės 2018-2020 m. strateginį veiklos planą. Patirtos išlaidos apmokėtos iš 1.4.1. eilutės.</t>
  </si>
  <si>
    <t xml:space="preserve"> Patirtos išlaidos apmokėtos iš 1.4.1. eilutės.</t>
  </si>
  <si>
    <t>2017 m. pateikta paraiška dėl projekto įgyvendinimo. Pradėti rangos darbai.</t>
  </si>
  <si>
    <t>2017 m. atliktas Paslaugų ir asmenų aptarnavimo kokybės gerinimo Pakruojo rajono savivaldybėje tyrimas.</t>
  </si>
  <si>
    <t>Programos koordinatorius: Pakruojo rajono savivaldybės administracijos Strateginės plėtros ir statybos skyriaus vedėjas Gintaras Makauskas</t>
  </si>
  <si>
    <t>PAŽANGAUS VERSLO IR ŽEMĖS ŪKIO KŪRIMO, ŠVARIOS IR SAUGIOS APLINKOS IŠSAUGOJIMO  PROGRAMOS NR. 6</t>
  </si>
  <si>
    <t>(tūkst.eurų)</t>
  </si>
  <si>
    <t xml:space="preserve">2017-ųjų m. </t>
  </si>
  <si>
    <t>6 Programa. Pažangaus verslo ir žemės ūkio kūrimo, švarios ir saugios aplinkos išsaugojimo programa</t>
  </si>
  <si>
    <t>Gerinti verslo ir žemės ūkio veiklos sąlygas rajone</t>
  </si>
  <si>
    <t>Gerinti melioracijos statinių būklę ir žemės ūkio veiklos sąlygas rajone</t>
  </si>
  <si>
    <t>Žemės melioravimo darbai</t>
  </si>
  <si>
    <t>04.02.01.01</t>
  </si>
  <si>
    <t>Rekonstruotų griovių ilgis (km)</t>
  </si>
  <si>
    <t xml:space="preserve"> </t>
  </si>
  <si>
    <t>Kaimo vietovių, kuriose vykdyta melioracijos statinių priežiūra ir remontas, skaičius</t>
  </si>
  <si>
    <t>Apskaitomas melioruotos žemės plotas (tūkst. ha)</t>
  </si>
  <si>
    <t>Vektorizuotos žemės plotas (tūkst. ha)</t>
  </si>
  <si>
    <t>Polderių priežiūra</t>
  </si>
  <si>
    <t>Prižiūrimų polderių skaičius</t>
  </si>
  <si>
    <t>Rajono gyvenviečių lietaus drenažo ir meliooracijos įrenginių remontas</t>
  </si>
  <si>
    <t>Lėšų panaudojimas (proc.)</t>
  </si>
  <si>
    <t xml:space="preserve">Parama melioracijos statinių naudotojų asociacijoms                                                                                                                                                                                                         </t>
  </si>
  <si>
    <t>13;1</t>
  </si>
  <si>
    <t>Įvykdyti MSNA projektai</t>
  </si>
  <si>
    <t>Skatinti verslo plėtrą rajone, remti verslo ir žemės ūkio subjektus</t>
  </si>
  <si>
    <t>Savivaldybės smulkaus ir vidutinio verslo rėmimo programos įgyvendinimas</t>
  </si>
  <si>
    <t>04.01.01.04</t>
  </si>
  <si>
    <t>Paremtų SVV įmonių skaičius</t>
  </si>
  <si>
    <t>iš viso</t>
  </si>
  <si>
    <t>Pakruojo verslo informacijos centro  veiklos organizavimas</t>
  </si>
  <si>
    <t>08.03.01.01</t>
  </si>
  <si>
    <t>Pakruojo verslo informacijos centre konsultuotų asmenų skaičius</t>
  </si>
  <si>
    <t>Gerinti rajono aplinkos kokybę, prižiūrėti viešąsias teritorijas ir inžinerinę infrastruktūrą</t>
  </si>
  <si>
    <t>Vykdyti rajono teritorijų, inžinerinės infrastruktūros ir komunalinio ūkio  priežiūros ir remonto darbus</t>
  </si>
  <si>
    <t>Miestų ir gyvenviečių gatvių apšvietimo tinklų eksploatacija ir remontas</t>
  </si>
  <si>
    <t>06.04.01.01.</t>
  </si>
  <si>
    <t>Eksploatuojamų gatvių apšvietimo tinklų ilgis (km)</t>
  </si>
  <si>
    <t>Seniūnijų komunalinio ūkio, inžinerinių tinklų ir teritorijos tvarkymas</t>
  </si>
  <si>
    <t>06.02.01.01</t>
  </si>
  <si>
    <t>Prižiūrimų inžinerinių tinklų sistemų skaičius</t>
  </si>
  <si>
    <t>Atnaujintų ar naujai įrengtų komunalinio ūkio objektų skaičius (tvarkomos teritorijos plotas, ha)</t>
  </si>
  <si>
    <t>Vandentvarkos plėtros programai įgyvendinti UAB „Pakruojo vandentiekis“</t>
  </si>
  <si>
    <t>06.03.01.01</t>
  </si>
  <si>
    <t>Palūkanų dengimas (proc.)</t>
  </si>
  <si>
    <t>Vykdyti priemones, nukreiptas į aplinkos išsaugojimą</t>
  </si>
  <si>
    <t>Komunalinių atliekų surinkimas ir tvarkymas</t>
  </si>
  <si>
    <t>05.01.01.01.</t>
  </si>
  <si>
    <t>Surinktų atliekų kiekis (t)</t>
  </si>
  <si>
    <t>Savivaldybės aplinkos apsaugos specialiosios rėmimo programos įgyvendinimas</t>
  </si>
  <si>
    <t>05.04.01.01</t>
  </si>
  <si>
    <t>1, 14-21</t>
  </si>
  <si>
    <t>Aplinkos apsaugos rėmimo specialiosios programos įgyvendinimas (proc.)</t>
  </si>
  <si>
    <t>Beglobių gyvūnų gaudymo, karantinavimo, eutanazijos ir utilizavimo paslaugų vykdymas</t>
  </si>
  <si>
    <t>05.01.01.02.</t>
  </si>
  <si>
    <t>Iškvietimų, gaudyti beglobius gyvūnus, skaičius</t>
  </si>
  <si>
    <t>Ekstremalių situacijų likvidavimo administravimas</t>
  </si>
  <si>
    <t>05.0.01.01.</t>
  </si>
  <si>
    <t>Iš viso programai</t>
  </si>
  <si>
    <t>Programos koordinatorius: Pakruojo rajono savivaldybės administracijos Žemės ūkio skyriaus vedėjas Juozas Pupinis</t>
  </si>
  <si>
    <t>Gauta 16 paraiškų, skirta parama 13. Kreipėsi mažiau įmonių nei buvo planuota.</t>
  </si>
  <si>
    <t xml:space="preserve"> PAKRUOJO RAJONO SAVIVALDYBĖS   2017–2019 METŲ STRATEGINIO VEIKLOS PLANO 2017 METŲ ĮGYVENDINIMO ATASKAITA</t>
  </si>
  <si>
    <t>EFEKTYVAUS, Į GYVENTOJŲ IR VERSLO POREIKIUS ORIENTUOTO VALDYMO PROGRAMOS NR. 1</t>
  </si>
  <si>
    <t>2017-ųjų m. patvirtinta taryboje</t>
  </si>
  <si>
    <t>2017-ųjų m. vykdymas</t>
  </si>
  <si>
    <t>4 Strateginis tikslas. Siekti visuomenės poreikius atitinkančių ir į šalies pažangą orientuotų viešojo valdymo rezultatų</t>
  </si>
  <si>
    <t>1 Programa. Efektyvaus, į gyventojų ir verslo poreikius orientuoto valdymo programa</t>
  </si>
  <si>
    <t>Didinti savivaldybės valdymo ir priskirtų funkcijų vykdymo efektyvumą</t>
  </si>
  <si>
    <t>Užtikrinti efektyvų savivaldybės darbo organizavimą</t>
  </si>
  <si>
    <t>Savivaldybės administracijos darbo organizavimas ir ir administracinės naštos mažinimo priemonių įgyvendinimas</t>
  </si>
  <si>
    <t>01.03.02.09.</t>
  </si>
  <si>
    <t>Savivaldybės administracijos darbuotojų skaičius</t>
  </si>
  <si>
    <t>Laisvi etatai</t>
  </si>
  <si>
    <t>Savivaldybės Tarybos darbo organizavimas</t>
  </si>
  <si>
    <t>01.01.01.09.</t>
  </si>
  <si>
    <t>Savivaldybės tarybos narių ir politinio (asmeninio) pasitikėjimo valstybės tarnautojų skaičius</t>
  </si>
  <si>
    <t>Savivaldybės Kontrolės ir audito tarnybos darbo organizavimas</t>
  </si>
  <si>
    <t>01.01.01.04.</t>
  </si>
  <si>
    <t>Savivaldybės Kontrolės ir audito tarnybos darbuotojų skaičius</t>
  </si>
  <si>
    <t>Buvo skelbtas konkursas, neatsirado tinkamas kandidatas</t>
  </si>
  <si>
    <t>Savivaldybės padalinių (seniūnijų) darbo organizavimas</t>
  </si>
  <si>
    <t>01.03.02.09</t>
  </si>
  <si>
    <t>Savivaldybės padalinių (seniūnijų) darbuotojų skaičius</t>
  </si>
  <si>
    <t>Laisvas etatas</t>
  </si>
  <si>
    <t>Savivaldybės administracinių pastatų remonto darbai</t>
  </si>
  <si>
    <t>01.03.02.02</t>
  </si>
  <si>
    <t>Administracinių pastatų, kuriuose atlikti remonto darbai, skaičius</t>
  </si>
  <si>
    <t>Korupcijos prevencija</t>
  </si>
  <si>
    <t>03.01.01.04</t>
  </si>
  <si>
    <t>Korupcijos prevencijos patikrinimų skaičius</t>
  </si>
  <si>
    <t>Savivaldybių asociacijos nario mokestis</t>
  </si>
  <si>
    <t>01.06.01.11</t>
  </si>
  <si>
    <t>Asociacijos nario mokesčio panaudojimas (proc.)</t>
  </si>
  <si>
    <t>Mero fondas</t>
  </si>
  <si>
    <t>01.03.02.01</t>
  </si>
  <si>
    <t>Mero fondo panaudojimas (proc.)</t>
  </si>
  <si>
    <t>Administracijos direktoriaus rezervas</t>
  </si>
  <si>
    <t>Administracijos direktoriaus rezervo panaudojimas (proc.)</t>
  </si>
  <si>
    <t>Ekstremalių situacijų likvidavimo išlaidų dengimas</t>
  </si>
  <si>
    <t>Tenkinti gyventojų viešuosius interesus, užtikrinant savivaldybei priskirtų funkcijų vykdymą</t>
  </si>
  <si>
    <t xml:space="preserve">Gyventojų registro tvarkymas ir duomenų valstybės registrui teikimas </t>
  </si>
  <si>
    <t>01.03.03.02.</t>
  </si>
  <si>
    <t xml:space="preserve">Archyvinių dokumentų tvarkymas </t>
  </si>
  <si>
    <t xml:space="preserve">Duomenų teikimas valstybinės pagalbos suteikimo registrui </t>
  </si>
  <si>
    <t>Jaunimo teisių apsauga</t>
  </si>
  <si>
    <t>Valstybinės kalbos vartojimo ir taisyklingumo kontrolė</t>
  </si>
  <si>
    <t>01.06.01.03.</t>
  </si>
  <si>
    <t>Civilinės būklės aktų registravimas</t>
  </si>
  <si>
    <t>01.06.01.05.</t>
  </si>
  <si>
    <t>Gyvenamosios vietos deklaravimas</t>
  </si>
  <si>
    <t>01.06.01.11.</t>
  </si>
  <si>
    <t>7.5</t>
  </si>
  <si>
    <t>7.6</t>
  </si>
  <si>
    <t>7.7</t>
  </si>
  <si>
    <t>7.8</t>
  </si>
  <si>
    <t>7.9</t>
  </si>
  <si>
    <t>Pirminė teisinė pagalba</t>
  </si>
  <si>
    <t>01.06.01.12.</t>
  </si>
  <si>
    <t>Mobilizacijos administravimas</t>
  </si>
  <si>
    <t>02.01.01.05.</t>
  </si>
  <si>
    <t>Turto disponavimas ir naudojimas</t>
  </si>
  <si>
    <t>01.06.01.07.</t>
  </si>
  <si>
    <t>Grąžintos nepanaudotos lėšos</t>
  </si>
  <si>
    <t>10.1</t>
  </si>
  <si>
    <t>10.2</t>
  </si>
  <si>
    <t>10.3</t>
  </si>
  <si>
    <t>10.4</t>
  </si>
  <si>
    <t>10.5</t>
  </si>
  <si>
    <t>10.6</t>
  </si>
  <si>
    <t>10.7</t>
  </si>
  <si>
    <t>10.8</t>
  </si>
  <si>
    <t>Turto vertinimas, inventorizacija, teisinė registracija, ekspertų paslaugos ir kt. turto valdymo išlaidos</t>
  </si>
  <si>
    <t>06.06.01.01</t>
  </si>
  <si>
    <t>Atliktų turto valdymo procedūrų skaičius</t>
  </si>
  <si>
    <t>Civilinės saugos administravimas</t>
  </si>
  <si>
    <t>02.02.01.01.</t>
  </si>
  <si>
    <t>Žemės ūkio funkcijų vykdymas</t>
  </si>
  <si>
    <t>04.02.01.04.      04.02.01.09</t>
  </si>
  <si>
    <t>1-21</t>
  </si>
  <si>
    <t>04.02.01.05.      04,02,01,09</t>
  </si>
  <si>
    <t>13.9</t>
  </si>
  <si>
    <t xml:space="preserve">Priešgaisrinės tarnybos veiklos organizavimas </t>
  </si>
  <si>
    <t>03.02.01.01</t>
  </si>
  <si>
    <t>Keleivių vežimo vietiniais susisiekimo maršrutais nuostolių kompensavimas</t>
  </si>
  <si>
    <t>04.09.01.04</t>
  </si>
  <si>
    <t>Keleivių vežėjų, kuriems kompensuojami nuostoliai, skaičius</t>
  </si>
  <si>
    <t>Piliečių prašymams atkurti nuosavybės teises į išlikusį nekilnojamąjį turtą nagrinėti ir sprendimams dėl nuosavybės atkūrimo priimti</t>
  </si>
  <si>
    <t>01.06.01.08</t>
  </si>
  <si>
    <t>Vaikų teisių apsauga</t>
  </si>
  <si>
    <t>01.06.01.02</t>
  </si>
  <si>
    <t>Grąžintos nepanaudotos lėšos, skirtos apmokėti už  budėjimus namuose</t>
  </si>
  <si>
    <t>Laidojimo pašalpų mokėjimo administravimas</t>
  </si>
  <si>
    <t>Socialinės paramos mokiniams administravimas</t>
  </si>
  <si>
    <t>Socialinių paslaugų administravimas</t>
  </si>
  <si>
    <t>Neveiksnių asmenų būklės peržiūrejimas</t>
  </si>
  <si>
    <t>07.06.01.02</t>
  </si>
  <si>
    <t>Vykdyti savivaldybės prisiimtus ilgalaikius  ir trumpalaikius finansinius įsipareigojimus</t>
  </si>
  <si>
    <t>Palūkanos ir išlaidos, susijusios su finansinių įsipareigojimų vykdymu</t>
  </si>
  <si>
    <t>01.07.01.01</t>
  </si>
  <si>
    <t>Finansinių įsipareigojimų vykdymo savalaikiškumas (proc.)</t>
  </si>
  <si>
    <t xml:space="preserve">1 </t>
  </si>
  <si>
    <t>Ilgalaikės paskolos</t>
  </si>
  <si>
    <t>L</t>
  </si>
  <si>
    <t>Trumpalaikės paskolos</t>
  </si>
  <si>
    <t>Programos koordinatorė:  Pakruojo rajono savivaldybės administracijos  Apskaitos skyriaus vedėja  Rasa Bagdonienė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</si>
</sst>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#,##0.0"/>
    <numFmt numFmtId="167" formatCode="0.000"/>
    <numFmt numFmtId="168" formatCode="#,##0.000"/>
  </numFmts>
  <fonts count="53" x14ac:knownFonts="1">
    <font>
      <sz val="10"/>
      <name val="Arial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9"/>
      <name val="Times New Roman"/>
      <family val="1"/>
      <charset val="186"/>
    </font>
    <font>
      <b/>
      <sz val="8"/>
      <color indexed="9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C00000"/>
      <name val="Times New Roman"/>
      <family val="1"/>
      <charset val="186"/>
    </font>
    <font>
      <sz val="11"/>
      <color indexed="8"/>
      <name val="Calibri"/>
      <family val="2"/>
      <charset val="186"/>
    </font>
    <font>
      <i/>
      <sz val="8"/>
      <color indexed="8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color theme="1" tint="4.9989318521683403E-2"/>
      <name val="Times New Roman"/>
      <family val="1"/>
      <charset val="186"/>
    </font>
    <font>
      <sz val="8"/>
      <color theme="1" tint="4.9989318521683403E-2"/>
      <name val="Times New Roman"/>
      <family val="1"/>
      <charset val="186"/>
    </font>
    <font>
      <sz val="8"/>
      <color theme="1" tint="0.249977111117893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8"/>
      <color indexed="10"/>
      <name val="Arial Narrow"/>
      <family val="2"/>
      <charset val="186"/>
    </font>
    <font>
      <sz val="8"/>
      <color indexed="57"/>
      <name val="Arial Narrow"/>
      <family val="2"/>
      <charset val="186"/>
    </font>
    <font>
      <sz val="8"/>
      <color indexed="12"/>
      <name val="Arial Narrow"/>
      <family val="2"/>
      <charset val="186"/>
    </font>
    <font>
      <sz val="8"/>
      <name val="Arial Narrow"/>
      <family val="2"/>
      <charset val="186"/>
    </font>
    <font>
      <sz val="8"/>
      <color indexed="17"/>
      <name val="Arial Narrow"/>
      <family val="2"/>
      <charset val="186"/>
    </font>
    <font>
      <sz val="10"/>
      <color indexed="12"/>
      <name val="Arial Narrow"/>
      <family val="2"/>
      <charset val="186"/>
    </font>
    <font>
      <strike/>
      <sz val="8"/>
      <name val="Times New Roman"/>
      <family val="1"/>
      <charset val="186"/>
    </font>
    <font>
      <sz val="8"/>
      <color indexed="14"/>
      <name val="Arial Narrow"/>
      <family val="2"/>
      <charset val="186"/>
    </font>
    <font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8"/>
      <color indexed="16"/>
      <name val="Times New Roman"/>
      <family val="1"/>
      <charset val="186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sz val="7"/>
      <name val="Times New Roman"/>
      <family val="1"/>
      <charset val="186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4" fontId="13" fillId="0" borderId="0" applyFont="0" applyFill="0" applyBorder="0" applyAlignment="0" applyProtection="0"/>
    <xf numFmtId="0" fontId="12" fillId="0" borderId="0"/>
    <xf numFmtId="0" fontId="10" fillId="0" borderId="0"/>
    <xf numFmtId="0" fontId="1" fillId="0" borderId="0"/>
    <xf numFmtId="0" fontId="26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28">
    <xf numFmtId="0" fontId="0" fillId="0" borderId="0" xfId="0"/>
    <xf numFmtId="2" fontId="18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/>
    </xf>
    <xf numFmtId="2" fontId="3" fillId="2" borderId="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15" fillId="6" borderId="2" xfId="0" applyNumberFormat="1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2" fontId="2" fillId="6" borderId="2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30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6" borderId="2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3" borderId="17" xfId="0" applyNumberFormat="1" applyFont="1" applyFill="1" applyBorder="1" applyAlignment="1">
      <alignment horizontal="center" vertical="center"/>
    </xf>
    <xf numFmtId="2" fontId="3" fillId="3" borderId="25" xfId="0" applyNumberFormat="1" applyFont="1" applyFill="1" applyBorder="1" applyAlignment="1">
      <alignment horizontal="center" vertical="center"/>
    </xf>
    <xf numFmtId="2" fontId="3" fillId="3" borderId="54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6" borderId="30" xfId="0" applyNumberFormat="1" applyFont="1" applyFill="1" applyBorder="1" applyAlignment="1">
      <alignment horizontal="center" vertical="center"/>
    </xf>
    <xf numFmtId="2" fontId="14" fillId="5" borderId="0" xfId="0" applyNumberFormat="1" applyFont="1" applyFill="1" applyAlignment="1">
      <alignment horizontal="center" vertical="center"/>
    </xf>
    <xf numFmtId="2" fontId="2" fillId="5" borderId="0" xfId="0" applyNumberFormat="1" applyFont="1" applyFill="1" applyAlignment="1">
      <alignment horizontal="center" vertical="center"/>
    </xf>
    <xf numFmtId="2" fontId="14" fillId="5" borderId="0" xfId="0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>
      <alignment horizontal="center" vertical="center"/>
    </xf>
    <xf numFmtId="2" fontId="3" fillId="3" borderId="36" xfId="0" applyNumberFormat="1" applyFont="1" applyFill="1" applyBorder="1" applyAlignment="1">
      <alignment horizontal="center" vertical="center"/>
    </xf>
    <xf numFmtId="2" fontId="3" fillId="3" borderId="29" xfId="0" applyNumberFormat="1" applyFont="1" applyFill="1" applyBorder="1" applyAlignment="1">
      <alignment horizontal="center" vertical="center"/>
    </xf>
    <xf numFmtId="2" fontId="23" fillId="6" borderId="8" xfId="0" applyNumberFormat="1" applyFont="1" applyFill="1" applyBorder="1" applyAlignment="1">
      <alignment horizontal="center" vertical="center"/>
    </xf>
    <xf numFmtId="2" fontId="23" fillId="6" borderId="11" xfId="0" applyNumberFormat="1" applyFont="1" applyFill="1" applyBorder="1" applyAlignment="1">
      <alignment horizontal="center" vertical="center"/>
    </xf>
    <xf numFmtId="2" fontId="3" fillId="4" borderId="33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6" borderId="3" xfId="0" applyNumberFormat="1" applyFont="1" applyFill="1" applyBorder="1" applyAlignment="1">
      <alignment horizontal="center" vertical="center"/>
    </xf>
    <xf numFmtId="2" fontId="24" fillId="3" borderId="3" xfId="0" applyNumberFormat="1" applyFont="1" applyFill="1" applyBorder="1" applyAlignment="1">
      <alignment horizontal="center" vertical="center"/>
    </xf>
    <xf numFmtId="2" fontId="23" fillId="0" borderId="30" xfId="0" applyNumberFormat="1" applyFont="1" applyFill="1" applyBorder="1" applyAlignment="1">
      <alignment horizontal="center" vertical="center"/>
    </xf>
    <xf numFmtId="2" fontId="23" fillId="6" borderId="10" xfId="0" applyNumberFormat="1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2" fontId="3" fillId="4" borderId="31" xfId="0" applyNumberFormat="1" applyFont="1" applyFill="1" applyBorder="1" applyAlignment="1">
      <alignment horizontal="center" vertical="center"/>
    </xf>
    <xf numFmtId="2" fontId="3" fillId="4" borderId="50" xfId="0" applyNumberFormat="1" applyFont="1" applyFill="1" applyBorder="1" applyAlignment="1">
      <alignment horizontal="center" vertical="center"/>
    </xf>
    <xf numFmtId="2" fontId="3" fillId="4" borderId="52" xfId="0" applyNumberFormat="1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2" fontId="24" fillId="3" borderId="4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center" vertical="center"/>
    </xf>
    <xf numFmtId="2" fontId="22" fillId="0" borderId="34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2" fontId="23" fillId="6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3" fillId="7" borderId="5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2" fontId="3" fillId="7" borderId="1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23" fillId="0" borderId="8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right" vertical="center"/>
    </xf>
    <xf numFmtId="2" fontId="2" fillId="0" borderId="56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3" fillId="2" borderId="47" xfId="0" applyNumberFormat="1" applyFont="1" applyFill="1" applyBorder="1" applyAlignment="1">
      <alignment horizontal="center" vertical="center"/>
    </xf>
    <xf numFmtId="2" fontId="3" fillId="4" borderId="44" xfId="0" applyNumberFormat="1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57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9" fillId="0" borderId="30" xfId="0" applyNumberFormat="1" applyFont="1" applyFill="1" applyBorder="1" applyAlignment="1">
      <alignment horizontal="center" vertical="center"/>
    </xf>
    <xf numFmtId="2" fontId="3" fillId="3" borderId="58" xfId="0" applyNumberFormat="1" applyFont="1" applyFill="1" applyBorder="1" applyAlignment="1">
      <alignment horizontal="center" vertical="center"/>
    </xf>
    <xf numFmtId="2" fontId="3" fillId="4" borderId="59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2" fontId="3" fillId="3" borderId="57" xfId="0" applyNumberFormat="1" applyFont="1" applyFill="1" applyBorder="1" applyAlignment="1">
      <alignment horizontal="center" vertical="center"/>
    </xf>
    <xf numFmtId="2" fontId="3" fillId="4" borderId="42" xfId="0" applyNumberFormat="1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2" fontId="14" fillId="0" borderId="35" xfId="0" applyNumberFormat="1" applyFont="1" applyFill="1" applyBorder="1" applyAlignment="1">
      <alignment horizontal="center" vertical="center"/>
    </xf>
    <xf numFmtId="2" fontId="15" fillId="3" borderId="19" xfId="0" applyNumberFormat="1" applyFont="1" applyFill="1" applyBorder="1" applyAlignment="1">
      <alignment horizontal="center" vertical="center"/>
    </xf>
    <xf numFmtId="2" fontId="15" fillId="3" borderId="20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right" vertical="center"/>
    </xf>
    <xf numFmtId="2" fontId="9" fillId="0" borderId="8" xfId="0" applyNumberFormat="1" applyFont="1" applyFill="1" applyBorder="1" applyAlignment="1">
      <alignment horizontal="right" vertical="center"/>
    </xf>
    <xf numFmtId="2" fontId="9" fillId="0" borderId="3" xfId="0" applyNumberFormat="1" applyFont="1" applyFill="1" applyBorder="1" applyAlignment="1">
      <alignment horizontal="right" vertical="center"/>
    </xf>
    <xf numFmtId="2" fontId="9" fillId="0" borderId="4" xfId="0" applyNumberFormat="1" applyFont="1" applyFill="1" applyBorder="1" applyAlignment="1">
      <alignment horizontal="right" vertical="center"/>
    </xf>
    <xf numFmtId="2" fontId="9" fillId="0" borderId="30" xfId="0" applyNumberFormat="1" applyFont="1" applyFill="1" applyBorder="1" applyAlignment="1">
      <alignment horizontal="right" vertical="center"/>
    </xf>
    <xf numFmtId="2" fontId="9" fillId="0" borderId="24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5" fillId="6" borderId="4" xfId="0" applyNumberFormat="1" applyFont="1" applyFill="1" applyBorder="1" applyAlignment="1">
      <alignment horizontal="center" vertical="center"/>
    </xf>
    <xf numFmtId="2" fontId="27" fillId="0" borderId="4" xfId="0" applyNumberFormat="1" applyFont="1" applyFill="1" applyBorder="1" applyAlignment="1">
      <alignment horizontal="right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2" fontId="3" fillId="4" borderId="47" xfId="0" applyNumberFormat="1" applyFont="1" applyFill="1" applyBorder="1" applyAlignment="1">
      <alignment horizontal="center" vertical="center"/>
    </xf>
    <xf numFmtId="2" fontId="3" fillId="4" borderId="45" xfId="0" applyNumberFormat="1" applyFont="1" applyFill="1" applyBorder="1" applyAlignment="1">
      <alignment horizontal="center" vertical="center"/>
    </xf>
    <xf numFmtId="2" fontId="3" fillId="4" borderId="62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vertical="center"/>
    </xf>
    <xf numFmtId="2" fontId="7" fillId="0" borderId="8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6" borderId="30" xfId="0" applyNumberFormat="1" applyFont="1" applyFill="1" applyBorder="1" applyAlignment="1">
      <alignment vertical="center"/>
    </xf>
    <xf numFmtId="2" fontId="7" fillId="6" borderId="3" xfId="0" applyNumberFormat="1" applyFont="1" applyFill="1" applyBorder="1" applyAlignment="1">
      <alignment vertical="center"/>
    </xf>
    <xf numFmtId="2" fontId="7" fillId="6" borderId="2" xfId="0" applyNumberFormat="1" applyFont="1" applyFill="1" applyBorder="1" applyAlignment="1">
      <alignment vertical="center"/>
    </xf>
    <xf numFmtId="2" fontId="7" fillId="6" borderId="24" xfId="0" applyNumberFormat="1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vertical="center"/>
    </xf>
    <xf numFmtId="2" fontId="7" fillId="0" borderId="24" xfId="0" applyNumberFormat="1" applyFont="1" applyFill="1" applyBorder="1" applyAlignment="1">
      <alignment vertical="center"/>
    </xf>
    <xf numFmtId="2" fontId="7" fillId="6" borderId="30" xfId="0" applyNumberFormat="1" applyFont="1" applyFill="1" applyBorder="1" applyAlignment="1">
      <alignment horizontal="center" vertical="center"/>
    </xf>
    <xf numFmtId="2" fontId="7" fillId="6" borderId="3" xfId="0" applyNumberFormat="1" applyFont="1" applyFill="1" applyBorder="1" applyAlignment="1">
      <alignment horizontal="center" vertical="center"/>
    </xf>
    <xf numFmtId="2" fontId="7" fillId="6" borderId="2" xfId="0" applyNumberFormat="1" applyFont="1" applyFill="1" applyBorder="1" applyAlignment="1">
      <alignment horizontal="center" vertical="center"/>
    </xf>
    <xf numFmtId="2" fontId="7" fillId="6" borderId="24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29" fillId="0" borderId="30" xfId="0" applyNumberFormat="1" applyFont="1" applyFill="1" applyBorder="1" applyAlignment="1">
      <alignment horizontal="center" vertical="center"/>
    </xf>
    <xf numFmtId="2" fontId="29" fillId="0" borderId="3" xfId="0" applyNumberFormat="1" applyFont="1" applyFill="1" applyBorder="1" applyAlignment="1">
      <alignment horizontal="center" vertical="center"/>
    </xf>
    <xf numFmtId="2" fontId="29" fillId="0" borderId="2" xfId="0" applyNumberFormat="1" applyFont="1" applyFill="1" applyBorder="1" applyAlignment="1">
      <alignment horizontal="center" vertical="center"/>
    </xf>
    <xf numFmtId="2" fontId="29" fillId="0" borderId="24" xfId="0" applyNumberFormat="1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/>
    </xf>
    <xf numFmtId="2" fontId="29" fillId="0" borderId="4" xfId="0" applyNumberFormat="1" applyFont="1" applyFill="1" applyBorder="1" applyAlignment="1">
      <alignment horizontal="center" vertical="center"/>
    </xf>
    <xf numFmtId="2" fontId="7" fillId="6" borderId="4" xfId="0" applyNumberFormat="1" applyFont="1" applyFill="1" applyBorder="1" applyAlignment="1">
      <alignment vertical="center"/>
    </xf>
    <xf numFmtId="2" fontId="8" fillId="3" borderId="30" xfId="0" applyNumberFormat="1" applyFont="1" applyFill="1" applyBorder="1" applyAlignment="1">
      <alignment vertical="center"/>
    </xf>
    <xf numFmtId="2" fontId="8" fillId="3" borderId="3" xfId="0" applyNumberFormat="1" applyFont="1" applyFill="1" applyBorder="1" applyAlignment="1">
      <alignment vertical="center"/>
    </xf>
    <xf numFmtId="2" fontId="8" fillId="3" borderId="4" xfId="0" applyNumberFormat="1" applyFont="1" applyFill="1" applyBorder="1" applyAlignment="1">
      <alignment vertical="center"/>
    </xf>
    <xf numFmtId="2" fontId="8" fillId="3" borderId="2" xfId="0" applyNumberFormat="1" applyFont="1" applyFill="1" applyBorder="1" applyAlignment="1">
      <alignment vertical="center"/>
    </xf>
    <xf numFmtId="2" fontId="8" fillId="3" borderId="24" xfId="0" applyNumberFormat="1" applyFont="1" applyFill="1" applyBorder="1" applyAlignment="1">
      <alignment vertical="center"/>
    </xf>
    <xf numFmtId="2" fontId="29" fillId="0" borderId="30" xfId="0" applyNumberFormat="1" applyFont="1" applyFill="1" applyBorder="1" applyAlignment="1">
      <alignment vertical="center"/>
    </xf>
    <xf numFmtId="2" fontId="29" fillId="0" borderId="3" xfId="0" applyNumberFormat="1" applyFont="1" applyFill="1" applyBorder="1" applyAlignment="1">
      <alignment vertical="center"/>
    </xf>
    <xf numFmtId="2" fontId="29" fillId="0" borderId="2" xfId="0" applyNumberFormat="1" applyFont="1" applyFill="1" applyBorder="1" applyAlignment="1">
      <alignment vertical="center"/>
    </xf>
    <xf numFmtId="2" fontId="29" fillId="0" borderId="8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2" fontId="7" fillId="6" borderId="8" xfId="0" applyNumberFormat="1" applyFont="1" applyFill="1" applyBorder="1" applyAlignment="1">
      <alignment horizontal="center" vertical="center"/>
    </xf>
    <xf numFmtId="2" fontId="7" fillId="6" borderId="4" xfId="0" applyNumberFormat="1" applyFont="1" applyFill="1" applyBorder="1" applyAlignment="1">
      <alignment horizontal="center" vertical="center"/>
    </xf>
    <xf numFmtId="2" fontId="29" fillId="6" borderId="10" xfId="0" applyNumberFormat="1" applyFont="1" applyFill="1" applyBorder="1" applyAlignment="1">
      <alignment horizontal="center" vertical="center"/>
    </xf>
    <xf numFmtId="2" fontId="29" fillId="6" borderId="11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8" fillId="3" borderId="61" xfId="0" applyNumberFormat="1" applyFont="1" applyFill="1" applyBorder="1" applyAlignment="1">
      <alignment horizontal="center" vertical="center"/>
    </xf>
    <xf numFmtId="2" fontId="8" fillId="3" borderId="29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6" borderId="11" xfId="0" applyNumberFormat="1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right" vertical="center"/>
    </xf>
    <xf numFmtId="2" fontId="8" fillId="3" borderId="1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2" fillId="0" borderId="30" xfId="0" applyNumberFormat="1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2" fontId="32" fillId="0" borderId="8" xfId="0" applyNumberFormat="1" applyFont="1" applyFill="1" applyBorder="1" applyAlignment="1">
      <alignment horizontal="right" vertical="center"/>
    </xf>
    <xf numFmtId="2" fontId="32" fillId="0" borderId="3" xfId="0" applyNumberFormat="1" applyFont="1" applyFill="1" applyBorder="1" applyAlignment="1">
      <alignment horizontal="right" vertical="center"/>
    </xf>
    <xf numFmtId="2" fontId="32" fillId="0" borderId="4" xfId="0" applyNumberFormat="1" applyFont="1" applyFill="1" applyBorder="1" applyAlignment="1">
      <alignment horizontal="right" vertical="center"/>
    </xf>
    <xf numFmtId="2" fontId="33" fillId="0" borderId="30" xfId="0" applyNumberFormat="1" applyFont="1" applyFill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2" fillId="0" borderId="24" xfId="0" applyNumberFormat="1" applyFont="1" applyFill="1" applyBorder="1" applyAlignment="1">
      <alignment horizontal="right" vertical="center"/>
    </xf>
    <xf numFmtId="2" fontId="33" fillId="0" borderId="8" xfId="0" applyNumberFormat="1" applyFont="1" applyFill="1" applyBorder="1" applyAlignment="1">
      <alignment horizontal="center" vertical="center"/>
    </xf>
    <xf numFmtId="2" fontId="33" fillId="0" borderId="4" xfId="0" applyNumberFormat="1" applyFont="1" applyFill="1" applyBorder="1" applyAlignment="1">
      <alignment horizontal="center" vertical="center"/>
    </xf>
    <xf numFmtId="2" fontId="33" fillId="0" borderId="24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33" fillId="6" borderId="24" xfId="0" applyNumberFormat="1" applyFont="1" applyFill="1" applyBorder="1" applyAlignment="1">
      <alignment horizontal="center" vertical="center"/>
    </xf>
    <xf numFmtId="2" fontId="33" fillId="0" borderId="24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31" xfId="0" applyNumberFormat="1" applyFont="1" applyFill="1" applyBorder="1" applyAlignment="1">
      <alignment horizontal="center" vertical="center"/>
    </xf>
    <xf numFmtId="2" fontId="3" fillId="4" borderId="40" xfId="0" applyNumberFormat="1" applyFont="1" applyFill="1" applyBorder="1" applyAlignment="1">
      <alignment horizontal="center" vertical="center"/>
    </xf>
    <xf numFmtId="2" fontId="3" fillId="4" borderId="3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3" fillId="4" borderId="37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2" fontId="23" fillId="0" borderId="3" xfId="0" applyNumberFormat="1" applyFont="1" applyFill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2" fillId="0" borderId="3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165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2" borderId="4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49" fontId="3" fillId="4" borderId="37" xfId="0" applyNumberFormat="1" applyFont="1" applyFill="1" applyBorder="1" applyAlignment="1">
      <alignment horizontal="left" vertical="center"/>
    </xf>
    <xf numFmtId="49" fontId="37" fillId="0" borderId="40" xfId="7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5" fontId="2" fillId="0" borderId="56" xfId="0" applyNumberFormat="1" applyFont="1" applyFill="1" applyBorder="1" applyAlignment="1">
      <alignment horizontal="center" vertical="center" shrinkToFit="1"/>
    </xf>
    <xf numFmtId="165" fontId="2" fillId="0" borderId="34" xfId="0" applyNumberFormat="1" applyFont="1" applyFill="1" applyBorder="1" applyAlignment="1">
      <alignment horizontal="center" vertical="center" shrinkToFit="1"/>
    </xf>
    <xf numFmtId="165" fontId="2" fillId="0" borderId="22" xfId="0" applyNumberFormat="1" applyFont="1" applyFill="1" applyBorder="1" applyAlignment="1">
      <alignment horizontal="center" vertical="center" shrinkToFit="1"/>
    </xf>
    <xf numFmtId="166" fontId="2" fillId="0" borderId="21" xfId="0" applyNumberFormat="1" applyFont="1" applyFill="1" applyBorder="1" applyAlignment="1">
      <alignment horizontal="center" vertical="center" shrinkToFit="1"/>
    </xf>
    <xf numFmtId="166" fontId="2" fillId="0" borderId="22" xfId="0" applyNumberFormat="1" applyFont="1" applyFill="1" applyBorder="1" applyAlignment="1">
      <alignment horizontal="center" vertical="center" shrinkToFit="1"/>
    </xf>
    <xf numFmtId="166" fontId="2" fillId="0" borderId="34" xfId="0" applyNumberFormat="1" applyFont="1" applyFill="1" applyBorder="1" applyAlignment="1">
      <alignment horizontal="center" vertical="center" shrinkToFit="1"/>
    </xf>
    <xf numFmtId="166" fontId="2" fillId="0" borderId="26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shrinkToFit="1"/>
    </xf>
    <xf numFmtId="165" fontId="2" fillId="0" borderId="2" xfId="0" applyNumberFormat="1" applyFont="1" applyFill="1" applyBorder="1" applyAlignment="1">
      <alignment horizontal="center" vertical="center" shrinkToFit="1"/>
    </xf>
    <xf numFmtId="165" fontId="2" fillId="0" borderId="3" xfId="0" applyNumberFormat="1" applyFont="1" applyFill="1" applyBorder="1" applyAlignment="1">
      <alignment horizontal="center" vertical="center" shrinkToFit="1"/>
    </xf>
    <xf numFmtId="166" fontId="2" fillId="0" borderId="8" xfId="0" applyNumberFormat="1" applyFont="1" applyFill="1" applyBorder="1" applyAlignment="1">
      <alignment horizontal="center" vertical="center" shrinkToFit="1"/>
    </xf>
    <xf numFmtId="166" fontId="2" fillId="0" borderId="3" xfId="0" applyNumberFormat="1" applyFont="1" applyFill="1" applyBorder="1" applyAlignment="1">
      <alignment horizontal="center" vertical="center" shrinkToFit="1"/>
    </xf>
    <xf numFmtId="166" fontId="2" fillId="0" borderId="2" xfId="0" applyNumberFormat="1" applyFont="1" applyFill="1" applyBorder="1" applyAlignment="1">
      <alignment horizontal="center" vertical="center" shrinkToFit="1"/>
    </xf>
    <xf numFmtId="166" fontId="2" fillId="0" borderId="24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5" fontId="2" fillId="0" borderId="66" xfId="0" applyNumberFormat="1" applyFont="1" applyFill="1" applyBorder="1" applyAlignment="1">
      <alignment horizontal="center" vertical="center" shrinkToFit="1"/>
    </xf>
    <xf numFmtId="165" fontId="2" fillId="0" borderId="12" xfId="0" applyNumberFormat="1" applyFont="1" applyFill="1" applyBorder="1" applyAlignment="1">
      <alignment horizontal="center" vertical="center" shrinkToFit="1"/>
    </xf>
    <xf numFmtId="165" fontId="2" fillId="0" borderId="15" xfId="0" applyNumberFormat="1" applyFont="1" applyFill="1" applyBorder="1" applyAlignment="1">
      <alignment horizontal="center" vertical="center" shrinkToFit="1"/>
    </xf>
    <xf numFmtId="166" fontId="2" fillId="0" borderId="11" xfId="0" applyNumberFormat="1" applyFont="1" applyFill="1" applyBorder="1" applyAlignment="1">
      <alignment horizontal="center" vertical="center" shrinkToFit="1"/>
    </xf>
    <xf numFmtId="166" fontId="2" fillId="0" borderId="30" xfId="0" applyNumberFormat="1" applyFont="1" applyFill="1" applyBorder="1" applyAlignment="1">
      <alignment horizontal="center" vertical="center" shrinkToFit="1"/>
    </xf>
    <xf numFmtId="166" fontId="2" fillId="0" borderId="67" xfId="0" applyNumberFormat="1" applyFont="1" applyFill="1" applyBorder="1" applyAlignment="1">
      <alignment horizontal="center" vertical="center" shrinkToFit="1"/>
    </xf>
    <xf numFmtId="165" fontId="2" fillId="0" borderId="65" xfId="0" applyNumberFormat="1" applyFont="1" applyFill="1" applyBorder="1" applyAlignment="1">
      <alignment horizontal="center" vertical="center" shrinkToFit="1"/>
    </xf>
    <xf numFmtId="165" fontId="2" fillId="0" borderId="4" xfId="0" applyNumberFormat="1" applyFont="1" applyFill="1" applyBorder="1" applyAlignment="1">
      <alignment horizontal="center" vertical="center" shrinkToFit="1"/>
    </xf>
    <xf numFmtId="166" fontId="2" fillId="0" borderId="10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49" fontId="38" fillId="0" borderId="40" xfId="7" applyNumberFormat="1" applyFont="1" applyBorder="1" applyAlignment="1">
      <alignment horizontal="center" vertical="center" wrapText="1"/>
    </xf>
    <xf numFmtId="166" fontId="2" fillId="0" borderId="68" xfId="0" applyNumberFormat="1" applyFont="1" applyFill="1" applyBorder="1" applyAlignment="1">
      <alignment horizontal="center" vertical="center" shrinkToFit="1"/>
    </xf>
    <xf numFmtId="49" fontId="37" fillId="0" borderId="15" xfId="7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3" fillId="3" borderId="11" xfId="6" applyNumberFormat="1" applyFont="1" applyFill="1" applyBorder="1" applyAlignment="1">
      <alignment horizontal="center" vertical="center"/>
    </xf>
    <xf numFmtId="165" fontId="3" fillId="3" borderId="2" xfId="6" applyNumberFormat="1" applyFont="1" applyFill="1" applyBorder="1" applyAlignment="1">
      <alignment horizontal="center" vertical="center"/>
    </xf>
    <xf numFmtId="165" fontId="3" fillId="3" borderId="3" xfId="6" applyNumberFormat="1" applyFont="1" applyFill="1" applyBorder="1" applyAlignment="1">
      <alignment horizontal="center" vertical="center"/>
    </xf>
    <xf numFmtId="166" fontId="3" fillId="3" borderId="8" xfId="6" applyNumberFormat="1" applyFont="1" applyFill="1" applyBorder="1" applyAlignment="1">
      <alignment horizontal="center" vertical="center"/>
    </xf>
    <xf numFmtId="166" fontId="3" fillId="3" borderId="3" xfId="6" applyNumberFormat="1" applyFont="1" applyFill="1" applyBorder="1" applyAlignment="1">
      <alignment horizontal="center" vertical="center"/>
    </xf>
    <xf numFmtId="166" fontId="3" fillId="3" borderId="2" xfId="6" applyNumberFormat="1" applyFont="1" applyFill="1" applyBorder="1" applyAlignment="1">
      <alignment horizontal="center" vertical="center"/>
    </xf>
    <xf numFmtId="166" fontId="3" fillId="3" borderId="24" xfId="6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49" fontId="39" fillId="0" borderId="40" xfId="7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24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166" fontId="2" fillId="0" borderId="4" xfId="0" applyNumberFormat="1" applyFont="1" applyFill="1" applyBorder="1" applyAlignment="1">
      <alignment horizontal="center" vertical="center"/>
    </xf>
    <xf numFmtId="166" fontId="2" fillId="0" borderId="69" xfId="0" applyNumberFormat="1" applyFont="1" applyFill="1" applyBorder="1" applyAlignment="1">
      <alignment horizontal="center" vertical="center" shrinkToFit="1"/>
    </xf>
    <xf numFmtId="49" fontId="39" fillId="0" borderId="15" xfId="7" applyNumberFormat="1" applyFont="1" applyBorder="1" applyAlignment="1">
      <alignment horizontal="center" vertical="center" wrapText="1"/>
    </xf>
    <xf numFmtId="166" fontId="3" fillId="3" borderId="4" xfId="6" applyNumberFormat="1" applyFont="1" applyFill="1" applyBorder="1" applyAlignment="1">
      <alignment horizontal="center" vertical="center"/>
    </xf>
    <xf numFmtId="166" fontId="3" fillId="3" borderId="69" xfId="6" applyNumberFormat="1" applyFont="1" applyFill="1" applyBorder="1" applyAlignment="1">
      <alignment horizontal="center" vertical="center"/>
    </xf>
    <xf numFmtId="49" fontId="40" fillId="0" borderId="40" xfId="7" applyNumberFormat="1" applyFont="1" applyBorder="1" applyAlignment="1">
      <alignment horizontal="center" vertical="center" wrapText="1"/>
    </xf>
    <xf numFmtId="49" fontId="41" fillId="0" borderId="40" xfId="7" applyNumberFormat="1" applyFont="1" applyBorder="1" applyAlignment="1">
      <alignment horizontal="center" vertical="center" wrapText="1"/>
    </xf>
    <xf numFmtId="49" fontId="40" fillId="0" borderId="15" xfId="7" applyNumberFormat="1" applyFont="1" applyBorder="1" applyAlignment="1">
      <alignment horizontal="center" vertical="center" wrapText="1"/>
    </xf>
    <xf numFmtId="49" fontId="40" fillId="0" borderId="7" xfId="7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166" fontId="2" fillId="0" borderId="69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3" fillId="3" borderId="69" xfId="0" applyNumberFormat="1" applyFont="1" applyFill="1" applyBorder="1" applyAlignment="1">
      <alignment horizontal="center" vertical="center"/>
    </xf>
    <xf numFmtId="166" fontId="3" fillId="3" borderId="24" xfId="0" applyNumberFormat="1" applyFont="1" applyFill="1" applyBorder="1" applyAlignment="1">
      <alignment horizontal="center" vertical="center"/>
    </xf>
    <xf numFmtId="49" fontId="39" fillId="0" borderId="40" xfId="7" applyNumberFormat="1" applyFont="1" applyFill="1" applyBorder="1" applyAlignment="1">
      <alignment horizontal="center" vertical="center" wrapText="1"/>
    </xf>
    <xf numFmtId="49" fontId="39" fillId="0" borderId="7" xfId="7" applyNumberFormat="1" applyFont="1" applyBorder="1" applyAlignment="1">
      <alignment horizontal="center" vertical="center" wrapText="1"/>
    </xf>
    <xf numFmtId="49" fontId="39" fillId="6" borderId="7" xfId="7" applyNumberFormat="1" applyFont="1" applyFill="1" applyBorder="1" applyAlignment="1">
      <alignment horizontal="center" vertical="center" wrapText="1"/>
    </xf>
    <xf numFmtId="166" fontId="2" fillId="7" borderId="69" xfId="0" applyNumberFormat="1" applyFont="1" applyFill="1" applyBorder="1" applyAlignment="1">
      <alignment horizontal="center" vertical="center"/>
    </xf>
    <xf numFmtId="166" fontId="2" fillId="7" borderId="24" xfId="0" applyNumberFormat="1" applyFont="1" applyFill="1" applyBorder="1" applyAlignment="1">
      <alignment horizontal="center" vertical="center"/>
    </xf>
    <xf numFmtId="49" fontId="39" fillId="6" borderId="40" xfId="7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39" fillId="0" borderId="40" xfId="0" applyFont="1" applyBorder="1" applyAlignment="1">
      <alignment horizontal="center"/>
    </xf>
    <xf numFmtId="0" fontId="42" fillId="0" borderId="15" xfId="0" applyFont="1" applyBorder="1"/>
    <xf numFmtId="166" fontId="2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9" fontId="37" fillId="0" borderId="7" xfId="7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7" fillId="0" borderId="40" xfId="7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166" fontId="2" fillId="0" borderId="68" xfId="0" applyNumberFormat="1" applyFont="1" applyFill="1" applyBorder="1" applyAlignment="1">
      <alignment horizontal="center" vertical="center"/>
    </xf>
    <xf numFmtId="166" fontId="2" fillId="0" borderId="67" xfId="0" applyNumberFormat="1" applyFont="1" applyFill="1" applyBorder="1" applyAlignment="1">
      <alignment horizontal="center" vertical="center"/>
    </xf>
    <xf numFmtId="49" fontId="40" fillId="0" borderId="40" xfId="7" applyNumberFormat="1" applyFont="1" applyBorder="1" applyAlignment="1">
      <alignment vertical="center" wrapText="1"/>
    </xf>
    <xf numFmtId="49" fontId="40" fillId="0" borderId="32" xfId="7" applyNumberFormat="1" applyFont="1" applyBorder="1" applyAlignment="1">
      <alignment vertical="center" wrapText="1"/>
    </xf>
    <xf numFmtId="165" fontId="3" fillId="3" borderId="39" xfId="0" applyNumberFormat="1" applyFont="1" applyFill="1" applyBorder="1" applyAlignment="1">
      <alignment horizontal="center" vertical="center"/>
    </xf>
    <xf numFmtId="165" fontId="3" fillId="3" borderId="55" xfId="0" applyNumberFormat="1" applyFont="1" applyFill="1" applyBorder="1" applyAlignment="1">
      <alignment horizontal="center" vertical="center"/>
    </xf>
    <xf numFmtId="165" fontId="3" fillId="3" borderId="40" xfId="0" applyNumberFormat="1" applyFont="1" applyFill="1" applyBorder="1" applyAlignment="1">
      <alignment horizontal="center" vertical="center"/>
    </xf>
    <xf numFmtId="166" fontId="3" fillId="3" borderId="39" xfId="0" applyNumberFormat="1" applyFont="1" applyFill="1" applyBorder="1" applyAlignment="1">
      <alignment horizontal="center" vertical="center"/>
    </xf>
    <xf numFmtId="166" fontId="3" fillId="3" borderId="40" xfId="0" applyNumberFormat="1" applyFont="1" applyFill="1" applyBorder="1" applyAlignment="1">
      <alignment horizontal="center" vertical="center"/>
    </xf>
    <xf numFmtId="166" fontId="3" fillId="3" borderId="43" xfId="0" applyNumberFormat="1" applyFont="1" applyFill="1" applyBorder="1" applyAlignment="1">
      <alignment horizontal="center" vertical="center"/>
    </xf>
    <xf numFmtId="166" fontId="3" fillId="3" borderId="38" xfId="0" applyNumberFormat="1" applyFont="1" applyFill="1" applyBorder="1" applyAlignment="1">
      <alignment horizontal="center" vertical="center"/>
    </xf>
    <xf numFmtId="166" fontId="3" fillId="3" borderId="71" xfId="0" applyNumberFormat="1" applyFont="1" applyFill="1" applyBorder="1" applyAlignment="1">
      <alignment horizontal="center" vertical="center"/>
    </xf>
    <xf numFmtId="165" fontId="15" fillId="3" borderId="8" xfId="0" applyNumberFormat="1" applyFont="1" applyFill="1" applyBorder="1" applyAlignment="1">
      <alignment horizontal="center" vertical="center"/>
    </xf>
    <xf numFmtId="165" fontId="7" fillId="3" borderId="52" xfId="0" applyNumberFormat="1" applyFont="1" applyFill="1" applyBorder="1" applyAlignment="1">
      <alignment vertical="center" wrapText="1"/>
    </xf>
    <xf numFmtId="49" fontId="3" fillId="2" borderId="33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6" fontId="6" fillId="4" borderId="1" xfId="6" applyNumberFormat="1" applyFont="1" applyFill="1" applyBorder="1" applyAlignment="1">
      <alignment horizontal="center" vertical="center"/>
    </xf>
    <xf numFmtId="166" fontId="6" fillId="4" borderId="5" xfId="6" applyNumberFormat="1" applyFont="1" applyFill="1" applyBorder="1" applyAlignment="1">
      <alignment horizontal="center" vertical="center"/>
    </xf>
    <xf numFmtId="166" fontId="6" fillId="4" borderId="27" xfId="6" applyNumberFormat="1" applyFont="1" applyFill="1" applyBorder="1" applyAlignment="1">
      <alignment horizontal="center" vertical="center"/>
    </xf>
    <xf numFmtId="165" fontId="6" fillId="4" borderId="1" xfId="6" applyNumberFormat="1" applyFont="1" applyFill="1" applyBorder="1" applyAlignment="1">
      <alignment horizontal="center" vertical="center"/>
    </xf>
    <xf numFmtId="165" fontId="6" fillId="4" borderId="5" xfId="6" applyNumberFormat="1" applyFont="1" applyFill="1" applyBorder="1" applyAlignment="1">
      <alignment horizontal="center" vertical="center"/>
    </xf>
    <xf numFmtId="165" fontId="6" fillId="4" borderId="13" xfId="6" applyNumberFormat="1" applyFont="1" applyFill="1" applyBorder="1" applyAlignment="1">
      <alignment horizontal="center" vertical="center"/>
    </xf>
    <xf numFmtId="165" fontId="6" fillId="4" borderId="64" xfId="6" applyNumberFormat="1" applyFont="1" applyFill="1" applyBorder="1" applyAlignment="1">
      <alignment horizontal="center" vertical="center"/>
    </xf>
    <xf numFmtId="165" fontId="6" fillId="4" borderId="28" xfId="6" applyNumberFormat="1" applyFont="1" applyFill="1" applyBorder="1" applyAlignment="1">
      <alignment horizontal="center" vertical="center"/>
    </xf>
    <xf numFmtId="165" fontId="2" fillId="4" borderId="46" xfId="6" applyNumberFormat="1" applyFont="1" applyFill="1" applyBorder="1" applyAlignment="1">
      <alignment horizontal="center" vertical="center"/>
    </xf>
    <xf numFmtId="165" fontId="2" fillId="4" borderId="1" xfId="6" applyNumberFormat="1" applyFont="1" applyFill="1" applyBorder="1" applyAlignment="1">
      <alignment horizontal="center" vertical="center"/>
    </xf>
    <xf numFmtId="165" fontId="2" fillId="4" borderId="5" xfId="6" applyNumberFormat="1" applyFont="1" applyFill="1" applyBorder="1" applyAlignment="1">
      <alignment horizontal="center" vertical="center"/>
    </xf>
    <xf numFmtId="165" fontId="2" fillId="4" borderId="13" xfId="6" applyNumberFormat="1" applyFont="1" applyFill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165" fontId="2" fillId="0" borderId="66" xfId="0" applyNumberFormat="1" applyFont="1" applyFill="1" applyBorder="1" applyAlignment="1">
      <alignment horizontal="center" vertical="center"/>
    </xf>
    <xf numFmtId="165" fontId="2" fillId="0" borderId="72" xfId="0" applyNumberFormat="1" applyFont="1" applyFill="1" applyBorder="1" applyAlignment="1">
      <alignment horizontal="center" vertical="center"/>
    </xf>
    <xf numFmtId="165" fontId="2" fillId="0" borderId="65" xfId="0" applyNumberFormat="1" applyFont="1" applyFill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 vertical="center"/>
    </xf>
    <xf numFmtId="166" fontId="2" fillId="0" borderId="66" xfId="0" applyNumberFormat="1" applyFont="1" applyFill="1" applyBorder="1" applyAlignment="1">
      <alignment horizontal="center" vertical="center"/>
    </xf>
    <xf numFmtId="49" fontId="39" fillId="0" borderId="40" xfId="7" applyNumberFormat="1" applyFont="1" applyBorder="1" applyAlignment="1">
      <alignment vertical="center" wrapText="1"/>
    </xf>
    <xf numFmtId="166" fontId="2" fillId="0" borderId="11" xfId="0" applyNumberFormat="1" applyFont="1" applyFill="1" applyBorder="1" applyAlignment="1">
      <alignment horizontal="center" vertical="center"/>
    </xf>
    <xf numFmtId="49" fontId="39" fillId="0" borderId="40" xfId="7" applyNumberFormat="1" applyFont="1" applyFill="1" applyBorder="1" applyAlignment="1">
      <alignment vertical="center" wrapText="1"/>
    </xf>
    <xf numFmtId="165" fontId="3" fillId="11" borderId="8" xfId="0" applyNumberFormat="1" applyFont="1" applyFill="1" applyBorder="1" applyAlignment="1">
      <alignment vertical="center" wrapText="1"/>
    </xf>
    <xf numFmtId="165" fontId="3" fillId="11" borderId="3" xfId="0" applyNumberFormat="1" applyFont="1" applyFill="1" applyBorder="1" applyAlignment="1">
      <alignment vertical="center" wrapText="1"/>
    </xf>
    <xf numFmtId="165" fontId="3" fillId="11" borderId="4" xfId="0" applyNumberFormat="1" applyFont="1" applyFill="1" applyBorder="1" applyAlignment="1">
      <alignment horizontal="center" vertical="center" wrapText="1"/>
    </xf>
    <xf numFmtId="49" fontId="44" fillId="0" borderId="40" xfId="7" applyNumberFormat="1" applyFont="1" applyBorder="1" applyAlignment="1">
      <alignment horizontal="center" vertical="center" wrapText="1"/>
    </xf>
    <xf numFmtId="49" fontId="44" fillId="0" borderId="15" xfId="7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3" fillId="3" borderId="11" xfId="0" applyNumberFormat="1" applyFont="1" applyFill="1" applyBorder="1" applyAlignment="1">
      <alignment horizontal="center" vertical="center"/>
    </xf>
    <xf numFmtId="165" fontId="3" fillId="3" borderId="69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7" borderId="8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39" fillId="0" borderId="7" xfId="7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39" fillId="0" borderId="40" xfId="7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7" fillId="0" borderId="40" xfId="7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 vertical="center"/>
    </xf>
    <xf numFmtId="166" fontId="2" fillId="0" borderId="70" xfId="0" applyNumberFormat="1" applyFont="1" applyFill="1" applyBorder="1" applyAlignment="1">
      <alignment horizontal="center" vertical="center"/>
    </xf>
    <xf numFmtId="166" fontId="2" fillId="0" borderId="29" xfId="0" applyNumberFormat="1" applyFont="1" applyFill="1" applyBorder="1" applyAlignment="1">
      <alignment horizontal="center" vertical="center"/>
    </xf>
    <xf numFmtId="0" fontId="38" fillId="0" borderId="40" xfId="7" applyFont="1" applyFill="1" applyBorder="1" applyAlignment="1">
      <alignment horizontal="center" vertical="center" wrapText="1"/>
    </xf>
    <xf numFmtId="0" fontId="39" fillId="0" borderId="32" xfId="7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/>
    </xf>
    <xf numFmtId="165" fontId="3" fillId="3" borderId="19" xfId="0" applyNumberFormat="1" applyFont="1" applyFill="1" applyBorder="1" applyAlignment="1">
      <alignment horizontal="center" vertical="center"/>
    </xf>
    <xf numFmtId="165" fontId="3" fillId="3" borderId="57" xfId="0" applyNumberFormat="1" applyFont="1" applyFill="1" applyBorder="1" applyAlignment="1">
      <alignment horizontal="center" vertical="center"/>
    </xf>
    <xf numFmtId="166" fontId="3" fillId="3" borderId="18" xfId="0" applyNumberFormat="1" applyFont="1" applyFill="1" applyBorder="1" applyAlignment="1">
      <alignment horizontal="center" vertical="center"/>
    </xf>
    <xf numFmtId="166" fontId="3" fillId="3" borderId="19" xfId="0" applyNumberFormat="1" applyFont="1" applyFill="1" applyBorder="1" applyAlignment="1">
      <alignment horizontal="center" vertical="center"/>
    </xf>
    <xf numFmtId="166" fontId="3" fillId="3" borderId="20" xfId="0" applyNumberFormat="1" applyFont="1" applyFill="1" applyBorder="1" applyAlignment="1">
      <alignment horizontal="center" vertical="center"/>
    </xf>
    <xf numFmtId="166" fontId="3" fillId="3" borderId="73" xfId="0" applyNumberFormat="1" applyFont="1" applyFill="1" applyBorder="1" applyAlignment="1">
      <alignment horizontal="center" vertical="center"/>
    </xf>
    <xf numFmtId="166" fontId="3" fillId="3" borderId="74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39" fillId="0" borderId="0" xfId="7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34" xfId="0" applyNumberFormat="1" applyFont="1" applyFill="1" applyBorder="1" applyAlignment="1">
      <alignment horizontal="center" vertical="center"/>
    </xf>
    <xf numFmtId="166" fontId="2" fillId="0" borderId="63" xfId="0" applyNumberFormat="1" applyFont="1" applyFill="1" applyBorder="1" applyAlignment="1">
      <alignment horizontal="center" vertical="center"/>
    </xf>
    <xf numFmtId="166" fontId="2" fillId="0" borderId="56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165" fontId="2" fillId="0" borderId="31" xfId="0" applyNumberFormat="1" applyFont="1" applyFill="1" applyBorder="1" applyAlignment="1">
      <alignment horizontal="center" vertical="center"/>
    </xf>
    <xf numFmtId="165" fontId="2" fillId="0" borderId="32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6" fontId="2" fillId="0" borderId="31" xfId="0" applyNumberFormat="1" applyFont="1" applyFill="1" applyBorder="1" applyAlignment="1">
      <alignment horizontal="center" vertical="center"/>
    </xf>
    <xf numFmtId="166" fontId="2" fillId="0" borderId="32" xfId="0" applyNumberFormat="1" applyFont="1" applyFill="1" applyBorder="1" applyAlignment="1">
      <alignment horizontal="center" vertical="center"/>
    </xf>
    <xf numFmtId="166" fontId="2" fillId="0" borderId="52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166" fontId="2" fillId="0" borderId="48" xfId="0" applyNumberFormat="1" applyFont="1" applyFill="1" applyBorder="1" applyAlignment="1">
      <alignment horizontal="center" vertical="center"/>
    </xf>
    <xf numFmtId="0" fontId="39" fillId="0" borderId="49" xfId="7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165" fontId="3" fillId="3" borderId="31" xfId="0" applyNumberFormat="1" applyFont="1" applyFill="1" applyBorder="1" applyAlignment="1">
      <alignment horizontal="center" vertical="center"/>
    </xf>
    <xf numFmtId="165" fontId="3" fillId="3" borderId="32" xfId="0" applyNumberFormat="1" applyFont="1" applyFill="1" applyBorder="1" applyAlignment="1">
      <alignment horizontal="center" vertical="center"/>
    </xf>
    <xf numFmtId="165" fontId="3" fillId="3" borderId="37" xfId="0" applyNumberFormat="1" applyFont="1" applyFill="1" applyBorder="1" applyAlignment="1">
      <alignment horizontal="center" vertical="center"/>
    </xf>
    <xf numFmtId="166" fontId="3" fillId="3" borderId="31" xfId="0" applyNumberFormat="1" applyFont="1" applyFill="1" applyBorder="1" applyAlignment="1">
      <alignment horizontal="center" vertical="center"/>
    </xf>
    <xf numFmtId="166" fontId="3" fillId="3" borderId="32" xfId="0" applyNumberFormat="1" applyFont="1" applyFill="1" applyBorder="1" applyAlignment="1">
      <alignment horizontal="center" vertical="center"/>
    </xf>
    <xf numFmtId="166" fontId="3" fillId="3" borderId="52" xfId="0" applyNumberFormat="1" applyFont="1" applyFill="1" applyBorder="1" applyAlignment="1">
      <alignment horizontal="center" vertical="center"/>
    </xf>
    <xf numFmtId="166" fontId="3" fillId="3" borderId="50" xfId="0" applyNumberFormat="1" applyFont="1" applyFill="1" applyBorder="1" applyAlignment="1">
      <alignment horizontal="center" vertical="center"/>
    </xf>
    <xf numFmtId="166" fontId="3" fillId="3" borderId="48" xfId="0" applyNumberFormat="1" applyFont="1" applyFill="1" applyBorder="1" applyAlignment="1">
      <alignment horizontal="center" vertical="center"/>
    </xf>
    <xf numFmtId="165" fontId="3" fillId="3" borderId="52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37" fillId="8" borderId="44" xfId="7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5" fontId="4" fillId="9" borderId="21" xfId="0" applyNumberFormat="1" applyFont="1" applyFill="1" applyBorder="1" applyAlignment="1">
      <alignment horizontal="center" vertical="center"/>
    </xf>
    <xf numFmtId="165" fontId="4" fillId="9" borderId="22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0" fontId="39" fillId="8" borderId="32" xfId="7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/>
    </xf>
    <xf numFmtId="165" fontId="6" fillId="4" borderId="27" xfId="6" applyNumberFormat="1" applyFont="1" applyFill="1" applyBorder="1" applyAlignment="1">
      <alignment horizontal="center" vertical="center"/>
    </xf>
    <xf numFmtId="166" fontId="6" fillId="4" borderId="13" xfId="6" applyNumberFormat="1" applyFont="1" applyFill="1" applyBorder="1" applyAlignment="1">
      <alignment horizontal="center" vertical="center"/>
    </xf>
    <xf numFmtId="166" fontId="6" fillId="4" borderId="64" xfId="6" applyNumberFormat="1" applyFont="1" applyFill="1" applyBorder="1" applyAlignment="1">
      <alignment horizontal="center" vertical="center"/>
    </xf>
    <xf numFmtId="165" fontId="2" fillId="4" borderId="28" xfId="6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27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  <xf numFmtId="166" fontId="6" fillId="2" borderId="13" xfId="0" applyNumberFormat="1" applyFont="1" applyFill="1" applyBorder="1" applyAlignment="1">
      <alignment horizontal="center" vertical="center"/>
    </xf>
    <xf numFmtId="166" fontId="6" fillId="2" borderId="64" xfId="0" applyNumberFormat="1" applyFont="1" applyFill="1" applyBorder="1" applyAlignment="1">
      <alignment horizontal="center" vertical="center"/>
    </xf>
    <xf numFmtId="166" fontId="6" fillId="2" borderId="33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165" fontId="6" fillId="7" borderId="31" xfId="0" applyNumberFormat="1" applyFont="1" applyFill="1" applyBorder="1" applyAlignment="1">
      <alignment horizontal="center" vertical="center"/>
    </xf>
    <xf numFmtId="165" fontId="6" fillId="7" borderId="32" xfId="0" applyNumberFormat="1" applyFont="1" applyFill="1" applyBorder="1" applyAlignment="1">
      <alignment horizontal="center" vertical="center"/>
    </xf>
    <xf numFmtId="165" fontId="6" fillId="7" borderId="37" xfId="0" applyNumberFormat="1" applyFont="1" applyFill="1" applyBorder="1" applyAlignment="1">
      <alignment horizontal="center" vertical="center"/>
    </xf>
    <xf numFmtId="166" fontId="6" fillId="7" borderId="31" xfId="0" applyNumberFormat="1" applyFont="1" applyFill="1" applyBorder="1" applyAlignment="1">
      <alignment horizontal="center" vertical="center"/>
    </xf>
    <xf numFmtId="166" fontId="6" fillId="7" borderId="32" xfId="0" applyNumberFormat="1" applyFont="1" applyFill="1" applyBorder="1" applyAlignment="1">
      <alignment horizontal="center" vertical="center"/>
    </xf>
    <xf numFmtId="166" fontId="6" fillId="7" borderId="52" xfId="0" applyNumberFormat="1" applyFont="1" applyFill="1" applyBorder="1" applyAlignment="1">
      <alignment horizontal="center" vertical="center"/>
    </xf>
    <xf numFmtId="166" fontId="6" fillId="7" borderId="50" xfId="0" applyNumberFormat="1" applyFont="1" applyFill="1" applyBorder="1" applyAlignment="1">
      <alignment horizontal="center" vertical="center"/>
    </xf>
    <xf numFmtId="166" fontId="6" fillId="7" borderId="48" xfId="0" applyNumberFormat="1" applyFont="1" applyFill="1" applyBorder="1" applyAlignment="1">
      <alignment horizontal="center" vertical="center"/>
    </xf>
    <xf numFmtId="165" fontId="3" fillId="7" borderId="42" xfId="0" applyNumberFormat="1" applyFont="1" applyFill="1" applyBorder="1" applyAlignment="1">
      <alignment horizontal="center" vertical="center"/>
    </xf>
    <xf numFmtId="165" fontId="3" fillId="7" borderId="31" xfId="0" applyNumberFormat="1" applyFont="1" applyFill="1" applyBorder="1" applyAlignment="1">
      <alignment horizontal="center" vertical="center"/>
    </xf>
    <xf numFmtId="165" fontId="3" fillId="7" borderId="32" xfId="0" applyNumberFormat="1" applyFont="1" applyFill="1" applyBorder="1" applyAlignment="1">
      <alignment horizontal="center" vertical="center"/>
    </xf>
    <xf numFmtId="165" fontId="3" fillId="7" borderId="52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3" xfId="0" applyNumberFormat="1" applyFont="1" applyFill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165" fontId="2" fillId="0" borderId="40" xfId="0" applyNumberFormat="1" applyFont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Border="1" applyAlignment="1">
      <alignment horizontal="center" vertical="center" textRotation="90"/>
    </xf>
    <xf numFmtId="2" fontId="2" fillId="0" borderId="57" xfId="0" applyNumberFormat="1" applyFont="1" applyBorder="1" applyAlignment="1">
      <alignment horizontal="center" vertical="center" textRotation="90"/>
    </xf>
    <xf numFmtId="49" fontId="3" fillId="2" borderId="3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4" borderId="37" xfId="0" applyNumberFormat="1" applyFont="1" applyFill="1" applyBorder="1" applyAlignment="1">
      <alignment horizontal="center" vertical="center"/>
    </xf>
    <xf numFmtId="165" fontId="2" fillId="0" borderId="67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65" fontId="3" fillId="13" borderId="3" xfId="0" applyNumberFormat="1" applyFont="1" applyFill="1" applyBorder="1" applyAlignment="1">
      <alignment horizontal="center" vertical="center"/>
    </xf>
    <xf numFmtId="165" fontId="3" fillId="13" borderId="4" xfId="0" applyNumberFormat="1" applyFont="1" applyFill="1" applyBorder="1" applyAlignment="1">
      <alignment horizontal="center" vertical="center"/>
    </xf>
    <xf numFmtId="165" fontId="3" fillId="13" borderId="8" xfId="0" applyNumberFormat="1" applyFont="1" applyFill="1" applyBorder="1" applyAlignment="1">
      <alignment horizontal="center" vertical="center"/>
    </xf>
    <xf numFmtId="165" fontId="3" fillId="13" borderId="2" xfId="0" applyNumberFormat="1" applyFont="1" applyFill="1" applyBorder="1" applyAlignment="1">
      <alignment horizontal="center" vertical="center"/>
    </xf>
    <xf numFmtId="165" fontId="3" fillId="13" borderId="24" xfId="0" applyNumberFormat="1" applyFont="1" applyFill="1" applyBorder="1" applyAlignment="1">
      <alignment horizontal="center" vertical="center"/>
    </xf>
    <xf numFmtId="165" fontId="3" fillId="13" borderId="4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165" fontId="2" fillId="0" borderId="0" xfId="0" applyNumberFormat="1" applyFont="1" applyAlignment="1">
      <alignment vertical="center"/>
    </xf>
    <xf numFmtId="0" fontId="3" fillId="14" borderId="2" xfId="0" applyFont="1" applyFill="1" applyBorder="1" applyAlignment="1">
      <alignment horizontal="center" vertical="center" wrapText="1"/>
    </xf>
    <xf numFmtId="165" fontId="3" fillId="14" borderId="8" xfId="0" applyNumberFormat="1" applyFont="1" applyFill="1" applyBorder="1" applyAlignment="1">
      <alignment horizontal="center" vertical="center"/>
    </xf>
    <xf numFmtId="165" fontId="3" fillId="14" borderId="3" xfId="0" applyNumberFormat="1" applyFont="1" applyFill="1" applyBorder="1" applyAlignment="1">
      <alignment horizontal="center" vertical="center"/>
    </xf>
    <xf numFmtId="165" fontId="3" fillId="14" borderId="4" xfId="0" applyNumberFormat="1" applyFont="1" applyFill="1" applyBorder="1" applyAlignment="1">
      <alignment horizontal="center" vertical="center"/>
    </xf>
    <xf numFmtId="165" fontId="3" fillId="14" borderId="2" xfId="0" applyNumberFormat="1" applyFont="1" applyFill="1" applyBorder="1" applyAlignment="1">
      <alignment horizontal="center" vertical="center"/>
    </xf>
    <xf numFmtId="165" fontId="3" fillId="14" borderId="24" xfId="0" applyNumberFormat="1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5" fontId="22" fillId="0" borderId="8" xfId="0" applyNumberFormat="1" applyFont="1" applyFill="1" applyBorder="1" applyAlignment="1">
      <alignment horizontal="center" vertical="center"/>
    </xf>
    <xf numFmtId="165" fontId="2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vertical="center" wrapText="1"/>
    </xf>
    <xf numFmtId="165" fontId="3" fillId="3" borderId="24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left" vertical="center" wrapText="1"/>
    </xf>
    <xf numFmtId="165" fontId="3" fillId="3" borderId="4" xfId="0" applyNumberFormat="1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vertical="center"/>
    </xf>
    <xf numFmtId="0" fontId="2" fillId="5" borderId="43" xfId="0" applyFont="1" applyFill="1" applyBorder="1" applyAlignment="1">
      <alignment horizontal="left" vertical="center" wrapText="1"/>
    </xf>
    <xf numFmtId="165" fontId="22" fillId="0" borderId="2" xfId="0" applyNumberFormat="1" applyFont="1" applyFill="1" applyBorder="1" applyAlignment="1">
      <alignment horizontal="center" vertical="center"/>
    </xf>
    <xf numFmtId="165" fontId="2" fillId="15" borderId="8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8" xfId="6" applyNumberFormat="1" applyFont="1" applyFill="1" applyBorder="1" applyAlignment="1">
      <alignment horizontal="center" vertical="center"/>
    </xf>
    <xf numFmtId="165" fontId="3" fillId="3" borderId="4" xfId="6" applyNumberFormat="1" applyFont="1" applyFill="1" applyBorder="1" applyAlignment="1">
      <alignment horizontal="center" vertical="center"/>
    </xf>
    <xf numFmtId="165" fontId="3" fillId="3" borderId="24" xfId="6" applyNumberFormat="1" applyFont="1" applyFill="1" applyBorder="1" applyAlignment="1">
      <alignment horizontal="center" vertical="center"/>
    </xf>
    <xf numFmtId="165" fontId="2" fillId="0" borderId="8" xfId="6" applyNumberFormat="1" applyFont="1" applyFill="1" applyBorder="1" applyAlignment="1">
      <alignment horizontal="center" vertical="center"/>
    </xf>
    <xf numFmtId="165" fontId="2" fillId="0" borderId="3" xfId="6" applyNumberFormat="1" applyFont="1" applyFill="1" applyBorder="1" applyAlignment="1">
      <alignment horizontal="center" vertical="center"/>
    </xf>
    <xf numFmtId="165" fontId="2" fillId="0" borderId="4" xfId="6" applyNumberFormat="1" applyFont="1" applyFill="1" applyBorder="1" applyAlignment="1">
      <alignment horizontal="center" vertical="center"/>
    </xf>
    <xf numFmtId="165" fontId="2" fillId="0" borderId="2" xfId="6" applyNumberFormat="1" applyFont="1" applyFill="1" applyBorder="1" applyAlignment="1">
      <alignment horizontal="center" vertical="center"/>
    </xf>
    <xf numFmtId="165" fontId="2" fillId="0" borderId="24" xfId="6" applyNumberFormat="1" applyFont="1" applyFill="1" applyBorder="1" applyAlignment="1">
      <alignment horizontal="center" vertical="center"/>
    </xf>
    <xf numFmtId="165" fontId="2" fillId="15" borderId="2" xfId="0" applyNumberFormat="1" applyFont="1" applyFill="1" applyBorder="1" applyAlignment="1">
      <alignment horizontal="center" vertical="center" wrapText="1"/>
    </xf>
    <xf numFmtId="165" fontId="2" fillId="15" borderId="4" xfId="6" applyNumberFormat="1" applyFont="1" applyFill="1" applyBorder="1" applyAlignment="1">
      <alignment horizontal="center" vertical="center"/>
    </xf>
    <xf numFmtId="165" fontId="3" fillId="3" borderId="30" xfId="6" applyNumberFormat="1" applyFont="1" applyFill="1" applyBorder="1" applyAlignment="1">
      <alignment horizontal="center" vertical="center"/>
    </xf>
    <xf numFmtId="165" fontId="2" fillId="0" borderId="11" xfId="6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9" xfId="6" applyNumberFormat="1" applyFont="1" applyFill="1" applyBorder="1" applyAlignment="1">
      <alignment horizontal="center" vertical="center"/>
    </xf>
    <xf numFmtId="165" fontId="2" fillId="0" borderId="7" xfId="6" applyNumberFormat="1" applyFont="1" applyFill="1" applyBorder="1" applyAlignment="1">
      <alignment horizontal="center" vertical="center"/>
    </xf>
    <xf numFmtId="165" fontId="2" fillId="0" borderId="17" xfId="6" applyNumberFormat="1" applyFont="1" applyFill="1" applyBorder="1" applyAlignment="1">
      <alignment horizontal="center" vertical="center"/>
    </xf>
    <xf numFmtId="165" fontId="2" fillId="0" borderId="29" xfId="6" applyNumberFormat="1" applyFont="1" applyFill="1" applyBorder="1" applyAlignment="1">
      <alignment horizontal="center" vertical="center"/>
    </xf>
    <xf numFmtId="165" fontId="2" fillId="0" borderId="6" xfId="6" applyNumberFormat="1" applyFont="1" applyFill="1" applyBorder="1" applyAlignment="1">
      <alignment horizontal="center" vertical="center"/>
    </xf>
    <xf numFmtId="165" fontId="2" fillId="0" borderId="25" xfId="6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 wrapText="1"/>
    </xf>
    <xf numFmtId="165" fontId="3" fillId="3" borderId="9" xfId="6" applyNumberFormat="1" applyFont="1" applyFill="1" applyBorder="1" applyAlignment="1">
      <alignment horizontal="center" vertical="center"/>
    </xf>
    <xf numFmtId="165" fontId="3" fillId="3" borderId="7" xfId="6" applyNumberFormat="1" applyFont="1" applyFill="1" applyBorder="1" applyAlignment="1">
      <alignment horizontal="center" vertical="center"/>
    </xf>
    <xf numFmtId="165" fontId="3" fillId="3" borderId="17" xfId="6" applyNumberFormat="1" applyFont="1" applyFill="1" applyBorder="1" applyAlignment="1">
      <alignment horizontal="center" vertical="center"/>
    </xf>
    <xf numFmtId="165" fontId="3" fillId="3" borderId="6" xfId="6" applyNumberFormat="1" applyFont="1" applyFill="1" applyBorder="1" applyAlignment="1">
      <alignment horizontal="center" vertical="center"/>
    </xf>
    <xf numFmtId="165" fontId="3" fillId="3" borderId="25" xfId="6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165" fontId="2" fillId="15" borderId="8" xfId="6" applyNumberFormat="1" applyFont="1" applyFill="1" applyBorder="1" applyAlignment="1">
      <alignment horizontal="center" vertical="center"/>
    </xf>
    <xf numFmtId="165" fontId="2" fillId="15" borderId="3" xfId="6" applyNumberFormat="1" applyFont="1" applyFill="1" applyBorder="1" applyAlignment="1">
      <alignment horizontal="center" vertical="center"/>
    </xf>
    <xf numFmtId="165" fontId="2" fillId="15" borderId="2" xfId="6" applyNumberFormat="1" applyFont="1" applyFill="1" applyBorder="1" applyAlignment="1">
      <alignment horizontal="center" vertical="center"/>
    </xf>
    <xf numFmtId="165" fontId="2" fillId="15" borderId="24" xfId="6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165" fontId="3" fillId="4" borderId="33" xfId="0" applyNumberFormat="1" applyFont="1" applyFill="1" applyBorder="1" applyAlignment="1">
      <alignment horizontal="center" vertical="center"/>
    </xf>
    <xf numFmtId="165" fontId="3" fillId="4" borderId="27" xfId="0" applyNumberFormat="1" applyFont="1" applyFill="1" applyBorder="1" applyAlignment="1">
      <alignment horizontal="center" vertical="center"/>
    </xf>
    <xf numFmtId="165" fontId="3" fillId="4" borderId="13" xfId="0" applyNumberFormat="1" applyFont="1" applyFill="1" applyBorder="1" applyAlignment="1">
      <alignment horizontal="center" vertical="center"/>
    </xf>
    <xf numFmtId="165" fontId="3" fillId="4" borderId="28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4" borderId="46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 wrapText="1"/>
    </xf>
    <xf numFmtId="165" fontId="2" fillId="0" borderId="34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65" fontId="23" fillId="0" borderId="11" xfId="6" applyNumberFormat="1" applyFont="1" applyFill="1" applyBorder="1" applyAlignment="1">
      <alignment horizontal="center" vertical="center"/>
    </xf>
    <xf numFmtId="165" fontId="23" fillId="0" borderId="2" xfId="6" applyNumberFormat="1" applyFont="1" applyFill="1" applyBorder="1" applyAlignment="1">
      <alignment horizontal="center" vertical="center"/>
    </xf>
    <xf numFmtId="165" fontId="23" fillId="0" borderId="3" xfId="6" applyNumberFormat="1" applyFont="1" applyFill="1" applyBorder="1" applyAlignment="1">
      <alignment horizontal="center" vertical="center"/>
    </xf>
    <xf numFmtId="165" fontId="2" fillId="15" borderId="0" xfId="0" applyNumberFormat="1" applyFont="1" applyFill="1" applyAlignment="1">
      <alignment vertical="center"/>
    </xf>
    <xf numFmtId="165" fontId="23" fillId="0" borderId="8" xfId="6" applyNumberFormat="1" applyFont="1" applyFill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>
      <alignment horizontal="center" vertical="center"/>
    </xf>
    <xf numFmtId="165" fontId="23" fillId="0" borderId="24" xfId="0" applyNumberFormat="1" applyFont="1" applyFill="1" applyBorder="1" applyAlignment="1">
      <alignment horizontal="center" vertical="center"/>
    </xf>
    <xf numFmtId="165" fontId="2" fillId="0" borderId="17" xfId="0" applyNumberFormat="1" applyFont="1" applyBorder="1" applyAlignment="1">
      <alignment vertical="center"/>
    </xf>
    <xf numFmtId="165" fontId="24" fillId="3" borderId="8" xfId="0" applyNumberFormat="1" applyFont="1" applyFill="1" applyBorder="1" applyAlignment="1">
      <alignment horizontal="center" vertical="center"/>
    </xf>
    <xf numFmtId="165" fontId="24" fillId="3" borderId="3" xfId="0" applyNumberFormat="1" applyFont="1" applyFill="1" applyBorder="1" applyAlignment="1">
      <alignment horizontal="center" vertical="center"/>
    </xf>
    <xf numFmtId="165" fontId="24" fillId="3" borderId="4" xfId="0" applyNumberFormat="1" applyFont="1" applyFill="1" applyBorder="1" applyAlignment="1">
      <alignment horizontal="center" vertical="center"/>
    </xf>
    <xf numFmtId="165" fontId="24" fillId="3" borderId="24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1" fontId="2" fillId="0" borderId="2" xfId="2" applyNumberFormat="1" applyFont="1" applyFill="1" applyBorder="1" applyAlignment="1">
      <alignment horizontal="center" vertical="center" wrapText="1"/>
    </xf>
    <xf numFmtId="165" fontId="24" fillId="3" borderId="8" xfId="6" applyNumberFormat="1" applyFont="1" applyFill="1" applyBorder="1" applyAlignment="1">
      <alignment horizontal="center" vertical="center"/>
    </xf>
    <xf numFmtId="165" fontId="24" fillId="3" borderId="3" xfId="6" applyNumberFormat="1" applyFont="1" applyFill="1" applyBorder="1" applyAlignment="1">
      <alignment horizontal="center" vertical="center"/>
    </xf>
    <xf numFmtId="165" fontId="24" fillId="3" borderId="4" xfId="6" applyNumberFormat="1" applyFont="1" applyFill="1" applyBorder="1" applyAlignment="1">
      <alignment horizontal="center" vertical="center"/>
    </xf>
    <xf numFmtId="165" fontId="24" fillId="3" borderId="24" xfId="6" applyNumberFormat="1" applyFont="1" applyFill="1" applyBorder="1" applyAlignment="1">
      <alignment horizontal="center" vertical="center"/>
    </xf>
    <xf numFmtId="165" fontId="23" fillId="0" borderId="4" xfId="6" applyNumberFormat="1" applyFont="1" applyFill="1" applyBorder="1" applyAlignment="1">
      <alignment horizontal="center" vertical="center"/>
    </xf>
    <xf numFmtId="165" fontId="23" fillId="0" borderId="24" xfId="6" applyNumberFormat="1" applyFont="1" applyFill="1" applyBorder="1" applyAlignment="1">
      <alignment horizontal="center" vertical="center"/>
    </xf>
    <xf numFmtId="165" fontId="3" fillId="14" borderId="6" xfId="0" applyNumberFormat="1" applyFont="1" applyFill="1" applyBorder="1" applyAlignment="1">
      <alignment horizontal="center" vertical="center" wrapText="1"/>
    </xf>
    <xf numFmtId="165" fontId="24" fillId="14" borderId="9" xfId="6" applyNumberFormat="1" applyFont="1" applyFill="1" applyBorder="1" applyAlignment="1">
      <alignment horizontal="center" vertical="center"/>
    </xf>
    <xf numFmtId="165" fontId="24" fillId="14" borderId="7" xfId="6" applyNumberFormat="1" applyFont="1" applyFill="1" applyBorder="1" applyAlignment="1">
      <alignment horizontal="center" vertical="center"/>
    </xf>
    <xf numFmtId="165" fontId="24" fillId="14" borderId="17" xfId="6" applyNumberFormat="1" applyFont="1" applyFill="1" applyBorder="1" applyAlignment="1">
      <alignment horizontal="center" vertical="center"/>
    </xf>
    <xf numFmtId="165" fontId="24" fillId="14" borderId="25" xfId="6" applyNumberFormat="1" applyFont="1" applyFill="1" applyBorder="1" applyAlignment="1">
      <alignment horizontal="center" vertical="center"/>
    </xf>
    <xf numFmtId="165" fontId="3" fillId="14" borderId="9" xfId="0" applyNumberFormat="1" applyFont="1" applyFill="1" applyBorder="1" applyAlignment="1">
      <alignment horizontal="center" vertical="center"/>
    </xf>
    <xf numFmtId="165" fontId="3" fillId="14" borderId="6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5" fontId="3" fillId="14" borderId="7" xfId="0" applyNumberFormat="1" applyFont="1" applyFill="1" applyBorder="1" applyAlignment="1">
      <alignment horizontal="center" vertical="center"/>
    </xf>
    <xf numFmtId="165" fontId="3" fillId="14" borderId="17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4" borderId="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/>
    </xf>
    <xf numFmtId="165" fontId="23" fillId="0" borderId="42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/>
    </xf>
    <xf numFmtId="165" fontId="3" fillId="3" borderId="14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65" fontId="24" fillId="14" borderId="8" xfId="0" applyNumberFormat="1" applyFont="1" applyFill="1" applyBorder="1" applyAlignment="1">
      <alignment horizontal="center" vertical="center"/>
    </xf>
    <xf numFmtId="165" fontId="24" fillId="14" borderId="3" xfId="0" applyNumberFormat="1" applyFont="1" applyFill="1" applyBorder="1" applyAlignment="1">
      <alignment horizontal="center" vertical="center"/>
    </xf>
    <xf numFmtId="165" fontId="24" fillId="14" borderId="4" xfId="0" applyNumberFormat="1" applyFont="1" applyFill="1" applyBorder="1" applyAlignment="1">
      <alignment horizontal="center" vertical="center"/>
    </xf>
    <xf numFmtId="165" fontId="24" fillId="14" borderId="24" xfId="0" applyNumberFormat="1" applyFont="1" applyFill="1" applyBorder="1" applyAlignment="1">
      <alignment horizontal="center" vertical="center"/>
    </xf>
    <xf numFmtId="165" fontId="24" fillId="14" borderId="2" xfId="0" applyNumberFormat="1" applyFont="1" applyFill="1" applyBorder="1" applyAlignment="1">
      <alignment horizontal="center" vertical="center"/>
    </xf>
    <xf numFmtId="165" fontId="23" fillId="15" borderId="8" xfId="0" applyNumberFormat="1" applyFont="1" applyFill="1" applyBorder="1" applyAlignment="1">
      <alignment horizontal="center" vertical="center"/>
    </xf>
    <xf numFmtId="165" fontId="23" fillId="15" borderId="24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 wrapText="1"/>
    </xf>
    <xf numFmtId="165" fontId="23" fillId="15" borderId="2" xfId="0" applyNumberFormat="1" applyFont="1" applyFill="1" applyBorder="1" applyAlignment="1">
      <alignment horizontal="center" vertical="center"/>
    </xf>
    <xf numFmtId="165" fontId="23" fillId="15" borderId="3" xfId="0" applyNumberFormat="1" applyFont="1" applyFill="1" applyBorder="1" applyAlignment="1">
      <alignment horizontal="center" vertical="center"/>
    </xf>
    <xf numFmtId="165" fontId="23" fillId="15" borderId="4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4" fillId="3" borderId="6" xfId="0" applyFont="1" applyFill="1" applyBorder="1" applyAlignment="1">
      <alignment horizontal="center" vertical="center" wrapText="1"/>
    </xf>
    <xf numFmtId="165" fontId="24" fillId="3" borderId="9" xfId="0" applyNumberFormat="1" applyFont="1" applyFill="1" applyBorder="1" applyAlignment="1">
      <alignment horizontal="center" vertical="center"/>
    </xf>
    <xf numFmtId="165" fontId="24" fillId="3" borderId="7" xfId="0" applyNumberFormat="1" applyFont="1" applyFill="1" applyBorder="1" applyAlignment="1">
      <alignment horizontal="center" vertical="center"/>
    </xf>
    <xf numFmtId="165" fontId="24" fillId="3" borderId="17" xfId="0" applyNumberFormat="1" applyFont="1" applyFill="1" applyBorder="1" applyAlignment="1">
      <alignment horizontal="center" vertical="center"/>
    </xf>
    <xf numFmtId="165" fontId="24" fillId="3" borderId="25" xfId="0" applyNumberFormat="1" applyFont="1" applyFill="1" applyBorder="1" applyAlignment="1">
      <alignment horizontal="center" vertical="center"/>
    </xf>
    <xf numFmtId="165" fontId="24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5" fontId="2" fillId="0" borderId="4" xfId="0" applyNumberFormat="1" applyFont="1" applyFill="1" applyBorder="1" applyAlignment="1">
      <alignment vertical="center"/>
    </xf>
    <xf numFmtId="0" fontId="45" fillId="0" borderId="4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165" fontId="2" fillId="0" borderId="53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165" fontId="3" fillId="3" borderId="30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165" fontId="2" fillId="3" borderId="17" xfId="0" applyNumberFormat="1" applyFont="1" applyFill="1" applyBorder="1" applyAlignment="1">
      <alignment horizontal="center" vertical="center"/>
    </xf>
    <xf numFmtId="165" fontId="2" fillId="3" borderId="36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25" xfId="0" applyNumberFormat="1" applyFont="1" applyFill="1" applyBorder="1" applyAlignment="1">
      <alignment horizontal="center" vertical="center"/>
    </xf>
    <xf numFmtId="165" fontId="2" fillId="3" borderId="61" xfId="0" applyNumberFormat="1" applyFont="1" applyFill="1" applyBorder="1" applyAlignment="1">
      <alignment horizontal="center" vertical="center"/>
    </xf>
    <xf numFmtId="165" fontId="3" fillId="3" borderId="36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5" fontId="3" fillId="3" borderId="25" xfId="0" applyNumberFormat="1" applyFont="1" applyFill="1" applyBorder="1" applyAlignment="1">
      <alignment horizontal="center" vertical="center"/>
    </xf>
    <xf numFmtId="165" fontId="3" fillId="3" borderId="61" xfId="0" applyNumberFormat="1" applyFont="1" applyFill="1" applyBorder="1" applyAlignment="1">
      <alignment horizontal="center" vertical="center"/>
    </xf>
    <xf numFmtId="165" fontId="3" fillId="4" borderId="78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65" fontId="3" fillId="2" borderId="64" xfId="0" applyNumberFormat="1" applyFont="1" applyFill="1" applyBorder="1" applyAlignment="1">
      <alignment horizontal="center" vertical="center"/>
    </xf>
    <xf numFmtId="165" fontId="3" fillId="2" borderId="46" xfId="0" applyNumberFormat="1" applyFont="1" applyFill="1" applyBorder="1" applyAlignment="1">
      <alignment horizontal="center" vertical="center"/>
    </xf>
    <xf numFmtId="165" fontId="3" fillId="2" borderId="27" xfId="0" applyNumberFormat="1" applyFont="1" applyFill="1" applyBorder="1" applyAlignment="1">
      <alignment horizontal="center" vertical="center"/>
    </xf>
    <xf numFmtId="165" fontId="3" fillId="7" borderId="50" xfId="0" applyNumberFormat="1" applyFont="1" applyFill="1" applyBorder="1" applyAlignment="1">
      <alignment horizontal="center" vertical="center"/>
    </xf>
    <xf numFmtId="165" fontId="3" fillId="7" borderId="49" xfId="0" applyNumberFormat="1" applyFont="1" applyFill="1" applyBorder="1" applyAlignment="1">
      <alignment horizontal="center" vertical="center"/>
    </xf>
    <xf numFmtId="165" fontId="3" fillId="7" borderId="27" xfId="0" applyNumberFormat="1" applyFont="1" applyFill="1" applyBorder="1" applyAlignment="1">
      <alignment horizontal="center" vertical="center"/>
    </xf>
    <xf numFmtId="165" fontId="3" fillId="7" borderId="13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7" fillId="0" borderId="39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40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49" fontId="8" fillId="4" borderId="3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3" fillId="0" borderId="3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/>
    </xf>
    <xf numFmtId="49" fontId="8" fillId="2" borderId="47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5" borderId="24" xfId="0" applyNumberFormat="1" applyFont="1" applyFill="1" applyBorder="1" applyAlignment="1">
      <alignment horizontal="center" vertical="center"/>
    </xf>
    <xf numFmtId="2" fontId="7" fillId="5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165" fontId="7" fillId="0" borderId="0" xfId="0" applyNumberFormat="1" applyFont="1" applyAlignment="1">
      <alignment vertical="top"/>
    </xf>
    <xf numFmtId="2" fontId="7" fillId="0" borderId="4" xfId="0" applyNumberFormat="1" applyFont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5" borderId="25" xfId="0" applyNumberFormat="1" applyFont="1" applyFill="1" applyBorder="1" applyAlignment="1">
      <alignment horizontal="center" vertical="center"/>
    </xf>
    <xf numFmtId="2" fontId="7" fillId="5" borderId="29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28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5" borderId="67" xfId="0" applyNumberFormat="1" applyFont="1" applyFill="1" applyBorder="1" applyAlignment="1">
      <alignment horizontal="center" vertical="center"/>
    </xf>
    <xf numFmtId="2" fontId="7" fillId="5" borderId="66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66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67" xfId="0" applyNumberFormat="1" applyFont="1" applyFill="1" applyBorder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2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2" fontId="7" fillId="5" borderId="71" xfId="0" applyNumberFormat="1" applyFont="1" applyFill="1" applyBorder="1" applyAlignment="1">
      <alignment horizontal="center" vertical="center"/>
    </xf>
    <xf numFmtId="2" fontId="7" fillId="5" borderId="41" xfId="0" applyNumberFormat="1" applyFont="1" applyFill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165" fontId="8" fillId="3" borderId="9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5" borderId="67" xfId="0" applyNumberFormat="1" applyFont="1" applyFill="1" applyBorder="1" applyAlignment="1">
      <alignment horizontal="center" vertical="center"/>
    </xf>
    <xf numFmtId="165" fontId="7" fillId="5" borderId="66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165" fontId="8" fillId="3" borderId="17" xfId="0" applyNumberFormat="1" applyFont="1" applyFill="1" applyBorder="1" applyAlignment="1">
      <alignment horizontal="center" vertical="center"/>
    </xf>
    <xf numFmtId="165" fontId="8" fillId="3" borderId="25" xfId="0" applyNumberFormat="1" applyFont="1" applyFill="1" applyBorder="1" applyAlignment="1">
      <alignment horizontal="center" vertical="center"/>
    </xf>
    <xf numFmtId="165" fontId="8" fillId="3" borderId="29" xfId="0" applyNumberFormat="1" applyFont="1" applyFill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5" borderId="24" xfId="0" applyNumberFormat="1" applyFont="1" applyFill="1" applyBorder="1" applyAlignment="1">
      <alignment horizontal="center" vertical="center"/>
    </xf>
    <xf numFmtId="165" fontId="7" fillId="5" borderId="11" xfId="0" applyNumberFormat="1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2" fontId="7" fillId="0" borderId="71" xfId="0" applyNumberFormat="1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76" xfId="0" applyNumberFormat="1" applyFont="1" applyFill="1" applyBorder="1" applyAlignment="1">
      <alignment horizontal="center" vertical="center"/>
    </xf>
    <xf numFmtId="165" fontId="7" fillId="0" borderId="62" xfId="0" applyNumberFormat="1" applyFont="1" applyFill="1" applyBorder="1" applyAlignment="1">
      <alignment horizontal="center" vertical="center"/>
    </xf>
    <xf numFmtId="165" fontId="7" fillId="0" borderId="79" xfId="0" applyNumberFormat="1" applyFont="1" applyFill="1" applyBorder="1" applyAlignment="1">
      <alignment horizontal="center" vertical="center"/>
    </xf>
    <xf numFmtId="165" fontId="7" fillId="0" borderId="72" xfId="0" applyNumberFormat="1" applyFont="1" applyFill="1" applyBorder="1" applyAlignment="1">
      <alignment horizontal="center" vertical="center"/>
    </xf>
    <xf numFmtId="165" fontId="7" fillId="0" borderId="55" xfId="0" applyNumberFormat="1" applyFont="1" applyFill="1" applyBorder="1" applyAlignment="1">
      <alignment horizontal="center" vertical="center"/>
    </xf>
    <xf numFmtId="165" fontId="7" fillId="0" borderId="71" xfId="0" applyNumberFormat="1" applyFont="1" applyFill="1" applyBorder="1" applyAlignment="1">
      <alignment horizontal="center" vertical="center"/>
    </xf>
    <xf numFmtId="165" fontId="2" fillId="0" borderId="39" xfId="6" applyNumberFormat="1" applyFont="1" applyFill="1" applyBorder="1" applyAlignment="1">
      <alignment horizontal="center" vertical="center"/>
    </xf>
    <xf numFmtId="165" fontId="2" fillId="0" borderId="40" xfId="6" applyNumberFormat="1" applyFont="1" applyFill="1" applyBorder="1" applyAlignment="1">
      <alignment horizontal="center" vertical="center"/>
    </xf>
    <xf numFmtId="165" fontId="2" fillId="0" borderId="55" xfId="6" applyNumberFormat="1" applyFont="1" applyFill="1" applyBorder="1" applyAlignment="1">
      <alignment horizontal="center" vertical="center"/>
    </xf>
    <xf numFmtId="165" fontId="2" fillId="0" borderId="71" xfId="6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4" xfId="6" applyNumberFormat="1" applyFont="1" applyFill="1" applyBorder="1" applyAlignment="1">
      <alignment horizontal="center" vertical="center"/>
    </xf>
    <xf numFmtId="165" fontId="2" fillId="0" borderId="15" xfId="6" applyNumberFormat="1" applyFont="1" applyFill="1" applyBorder="1" applyAlignment="1">
      <alignment horizontal="center" vertical="center"/>
    </xf>
    <xf numFmtId="165" fontId="2" fillId="0" borderId="16" xfId="6" applyNumberFormat="1" applyFont="1" applyFill="1" applyBorder="1" applyAlignment="1">
      <alignment horizontal="center" vertical="center"/>
    </xf>
    <xf numFmtId="165" fontId="2" fillId="17" borderId="14" xfId="6" applyNumberFormat="1" applyFont="1" applyFill="1" applyBorder="1" applyAlignment="1">
      <alignment horizontal="center" vertical="center"/>
    </xf>
    <xf numFmtId="165" fontId="2" fillId="17" borderId="15" xfId="6" applyNumberFormat="1" applyFont="1" applyFill="1" applyBorder="1" applyAlignment="1">
      <alignment horizontal="center" vertical="center"/>
    </xf>
    <xf numFmtId="165" fontId="2" fillId="5" borderId="15" xfId="6" applyNumberFormat="1" applyFont="1" applyFill="1" applyBorder="1" applyAlignment="1">
      <alignment horizontal="center" vertical="center"/>
    </xf>
    <xf numFmtId="165" fontId="2" fillId="5" borderId="12" xfId="6" applyNumberFormat="1" applyFont="1" applyFill="1" applyBorder="1" applyAlignment="1">
      <alignment horizontal="center" vertical="center"/>
    </xf>
    <xf numFmtId="165" fontId="2" fillId="0" borderId="67" xfId="6" applyNumberFormat="1" applyFont="1" applyFill="1" applyBorder="1" applyAlignment="1">
      <alignment horizontal="center" vertical="center"/>
    </xf>
    <xf numFmtId="165" fontId="2" fillId="5" borderId="8" xfId="6" applyNumberFormat="1" applyFont="1" applyFill="1" applyBorder="1" applyAlignment="1">
      <alignment horizontal="center" vertical="center"/>
    </xf>
    <xf numFmtId="165" fontId="2" fillId="5" borderId="3" xfId="6" applyNumberFormat="1" applyFont="1" applyFill="1" applyBorder="1" applyAlignment="1">
      <alignment horizontal="center" vertical="center"/>
    </xf>
    <xf numFmtId="165" fontId="2" fillId="5" borderId="2" xfId="6" applyNumberFormat="1" applyFont="1" applyFill="1" applyBorder="1" applyAlignment="1">
      <alignment horizontal="center" vertical="center"/>
    </xf>
    <xf numFmtId="0" fontId="3" fillId="4" borderId="7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48" fillId="0" borderId="0" xfId="0" applyFont="1" applyBorder="1" applyAlignment="1">
      <alignment vertical="top"/>
    </xf>
    <xf numFmtId="165" fontId="7" fillId="0" borderId="0" xfId="0" applyNumberFormat="1" applyFont="1" applyBorder="1" applyAlignment="1">
      <alignment vertical="top"/>
    </xf>
    <xf numFmtId="0" fontId="7" fillId="0" borderId="0" xfId="0" applyFont="1" applyFill="1" applyAlignment="1">
      <alignment vertical="top"/>
    </xf>
    <xf numFmtId="2" fontId="2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 textRotation="90" wrapText="1"/>
    </xf>
    <xf numFmtId="2" fontId="45" fillId="0" borderId="0" xfId="0" applyNumberFormat="1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3" fillId="4" borderId="37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40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165" fontId="2" fillId="0" borderId="47" xfId="0" applyNumberFormat="1" applyFont="1" applyFill="1" applyBorder="1" applyAlignment="1">
      <alignment horizontal="center" vertical="center"/>
    </xf>
    <xf numFmtId="165" fontId="2" fillId="0" borderId="4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3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top" wrapText="1"/>
    </xf>
    <xf numFmtId="0" fontId="2" fillId="0" borderId="3" xfId="0" applyFont="1" applyBorder="1" applyAlignment="1">
      <alignment vertic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49" fontId="3" fillId="2" borderId="47" xfId="0" applyNumberFormat="1" applyFont="1" applyFill="1" applyBorder="1" applyAlignment="1">
      <alignment horizontal="center" vertical="center"/>
    </xf>
    <xf numFmtId="49" fontId="3" fillId="4" borderId="44" xfId="0" applyNumberFormat="1" applyFont="1" applyFill="1" applyBorder="1" applyAlignment="1">
      <alignment horizontal="center" vertical="center"/>
    </xf>
    <xf numFmtId="165" fontId="3" fillId="14" borderId="14" xfId="0" applyNumberFormat="1" applyFont="1" applyFill="1" applyBorder="1" applyAlignment="1">
      <alignment horizontal="center" vertical="center"/>
    </xf>
    <xf numFmtId="165" fontId="3" fillId="14" borderId="15" xfId="0" applyNumberFormat="1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 wrapText="1"/>
    </xf>
    <xf numFmtId="2" fontId="3" fillId="15" borderId="30" xfId="0" applyNumberFormat="1" applyFont="1" applyFill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center" vertical="center"/>
    </xf>
    <xf numFmtId="2" fontId="3" fillId="15" borderId="4" xfId="0" applyNumberFormat="1" applyFont="1" applyFill="1" applyBorder="1" applyAlignment="1">
      <alignment horizontal="center" vertical="center"/>
    </xf>
    <xf numFmtId="2" fontId="3" fillId="15" borderId="24" xfId="0" applyNumberFormat="1" applyFont="1" applyFill="1" applyBorder="1" applyAlignment="1">
      <alignment horizontal="center" vertical="center"/>
    </xf>
    <xf numFmtId="165" fontId="3" fillId="15" borderId="30" xfId="0" applyNumberFormat="1" applyFont="1" applyFill="1" applyBorder="1" applyAlignment="1">
      <alignment horizontal="center" vertical="center"/>
    </xf>
    <xf numFmtId="165" fontId="3" fillId="15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5" fontId="2" fillId="0" borderId="43" xfId="0" applyNumberFormat="1" applyFont="1" applyFill="1" applyBorder="1" applyAlignment="1">
      <alignment horizontal="center" vertical="center" wrapText="1"/>
    </xf>
    <xf numFmtId="2" fontId="3" fillId="4" borderId="48" xfId="0" applyNumberFormat="1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3" fillId="4" borderId="27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28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7" fontId="2" fillId="0" borderId="34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67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2" fillId="0" borderId="23" xfId="0" applyNumberFormat="1" applyFont="1" applyBorder="1" applyAlignment="1">
      <alignment horizontal="center" vertical="center"/>
    </xf>
    <xf numFmtId="165" fontId="2" fillId="15" borderId="2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5" fontId="2" fillId="15" borderId="4" xfId="0" applyNumberFormat="1" applyFont="1" applyFill="1" applyBorder="1" applyAlignment="1">
      <alignment horizontal="center" vertical="center"/>
    </xf>
    <xf numFmtId="165" fontId="2" fillId="15" borderId="30" xfId="0" applyNumberFormat="1" applyFont="1" applyFill="1" applyBorder="1" applyAlignment="1">
      <alignment horizontal="center" vertical="center"/>
    </xf>
    <xf numFmtId="165" fontId="2" fillId="15" borderId="3" xfId="0" applyNumberFormat="1" applyFont="1" applyFill="1" applyBorder="1" applyAlignment="1">
      <alignment horizontal="center" vertical="center"/>
    </xf>
    <xf numFmtId="2" fontId="2" fillId="15" borderId="24" xfId="0" applyNumberFormat="1" applyFont="1" applyFill="1" applyBorder="1" applyAlignment="1">
      <alignment horizontal="center" vertical="center"/>
    </xf>
    <xf numFmtId="2" fontId="2" fillId="0" borderId="71" xfId="0" applyNumberFormat="1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5" fontId="3" fillId="3" borderId="58" xfId="0" applyNumberFormat="1" applyFont="1" applyFill="1" applyBorder="1" applyAlignment="1">
      <alignment horizontal="center" vertical="center"/>
    </xf>
    <xf numFmtId="2" fontId="3" fillId="18" borderId="5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4" borderId="5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2" fontId="3" fillId="7" borderId="28" xfId="0" applyNumberFormat="1" applyFont="1" applyFill="1" applyBorder="1" applyAlignment="1">
      <alignment horizontal="center" vertical="center"/>
    </xf>
    <xf numFmtId="165" fontId="3" fillId="7" borderId="46" xfId="0" applyNumberFormat="1" applyFont="1" applyFill="1" applyBorder="1" applyAlignment="1">
      <alignment horizontal="center" vertical="center"/>
    </xf>
    <xf numFmtId="165" fontId="3" fillId="19" borderId="1" xfId="0" applyNumberFormat="1" applyFont="1" applyFill="1" applyBorder="1" applyAlignment="1">
      <alignment horizontal="center" vertical="center"/>
    </xf>
    <xf numFmtId="165" fontId="3" fillId="7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15" borderId="8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69" xfId="0" applyNumberFormat="1" applyFont="1" applyFill="1" applyBorder="1" applyAlignment="1">
      <alignment horizontal="center" vertical="center"/>
    </xf>
    <xf numFmtId="165" fontId="3" fillId="3" borderId="46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15" borderId="6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left" vertical="center" wrapText="1"/>
    </xf>
    <xf numFmtId="165" fontId="2" fillId="15" borderId="26" xfId="0" applyNumberFormat="1" applyFont="1" applyFill="1" applyBorder="1" applyAlignment="1">
      <alignment horizontal="center" vertical="center"/>
    </xf>
    <xf numFmtId="165" fontId="45" fillId="0" borderId="0" xfId="0" applyNumberFormat="1" applyFont="1" applyFill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65" fontId="2" fillId="15" borderId="24" xfId="0" applyNumberFormat="1" applyFont="1" applyFill="1" applyBorder="1" applyAlignment="1">
      <alignment horizontal="center" vertical="center"/>
    </xf>
    <xf numFmtId="165" fontId="3" fillId="14" borderId="11" xfId="6" applyNumberFormat="1" applyFont="1" applyFill="1" applyBorder="1" applyAlignment="1">
      <alignment horizontal="center" vertical="center"/>
    </xf>
    <xf numFmtId="165" fontId="3" fillId="14" borderId="3" xfId="6" applyNumberFormat="1" applyFont="1" applyFill="1" applyBorder="1" applyAlignment="1">
      <alignment horizontal="center" vertical="center"/>
    </xf>
    <xf numFmtId="165" fontId="3" fillId="14" borderId="30" xfId="6" applyNumberFormat="1" applyFont="1" applyFill="1" applyBorder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 vertical="center"/>
    </xf>
    <xf numFmtId="165" fontId="3" fillId="3" borderId="68" xfId="0" applyNumberFormat="1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left" vertical="center" wrapText="1"/>
    </xf>
    <xf numFmtId="0" fontId="2" fillId="15" borderId="0" xfId="0" applyFont="1" applyFill="1" applyAlignment="1">
      <alignment horizontal="center" vertical="center"/>
    </xf>
    <xf numFmtId="165" fontId="3" fillId="14" borderId="8" xfId="6" applyNumberFormat="1" applyFont="1" applyFill="1" applyBorder="1" applyAlignment="1">
      <alignment horizontal="center" vertical="center"/>
    </xf>
    <xf numFmtId="165" fontId="3" fillId="14" borderId="4" xfId="6" applyNumberFormat="1" applyFont="1" applyFill="1" applyBorder="1" applyAlignment="1">
      <alignment horizontal="center" vertical="center"/>
    </xf>
    <xf numFmtId="165" fontId="3" fillId="3" borderId="69" xfId="0" applyNumberFormat="1" applyFont="1" applyFill="1" applyBorder="1" applyAlignment="1">
      <alignment horizontal="left" vertical="center"/>
    </xf>
    <xf numFmtId="165" fontId="2" fillId="0" borderId="10" xfId="6" applyNumberFormat="1" applyFont="1" applyFill="1" applyBorder="1" applyAlignment="1">
      <alignment horizontal="center" vertical="center"/>
    </xf>
    <xf numFmtId="165" fontId="2" fillId="15" borderId="0" xfId="0" applyNumberFormat="1" applyFont="1" applyFill="1" applyAlignment="1">
      <alignment horizontal="center" vertical="center"/>
    </xf>
    <xf numFmtId="165" fontId="3" fillId="3" borderId="70" xfId="0" applyNumberFormat="1" applyFont="1" applyFill="1" applyBorder="1" applyAlignment="1">
      <alignment horizontal="left" vertical="center"/>
    </xf>
    <xf numFmtId="165" fontId="2" fillId="5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left" vertical="center"/>
    </xf>
    <xf numFmtId="165" fontId="2" fillId="5" borderId="6" xfId="0" applyNumberFormat="1" applyFont="1" applyFill="1" applyBorder="1" applyAlignment="1">
      <alignment horizontal="center" vertical="center" wrapText="1"/>
    </xf>
    <xf numFmtId="165" fontId="2" fillId="15" borderId="39" xfId="0" applyNumberFormat="1" applyFont="1" applyFill="1" applyBorder="1" applyAlignment="1">
      <alignment horizontal="center" vertical="center"/>
    </xf>
    <xf numFmtId="165" fontId="2" fillId="15" borderId="40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left" vertical="center"/>
    </xf>
    <xf numFmtId="165" fontId="2" fillId="15" borderId="3" xfId="0" applyNumberFormat="1" applyFont="1" applyFill="1" applyBorder="1" applyAlignment="1">
      <alignment horizontal="left" vertical="center"/>
    </xf>
    <xf numFmtId="165" fontId="2" fillId="0" borderId="77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165" fontId="2" fillId="15" borderId="10" xfId="6" applyNumberFormat="1" applyFont="1" applyFill="1" applyBorder="1" applyAlignment="1">
      <alignment horizontal="center" vertical="center"/>
    </xf>
    <xf numFmtId="165" fontId="2" fillId="5" borderId="11" xfId="6" applyNumberFormat="1" applyFont="1" applyFill="1" applyBorder="1" applyAlignment="1">
      <alignment horizontal="center" vertical="center"/>
    </xf>
    <xf numFmtId="165" fontId="2" fillId="5" borderId="4" xfId="6" applyNumberFormat="1" applyFont="1" applyFill="1" applyBorder="1" applyAlignment="1">
      <alignment horizontal="center" vertical="center"/>
    </xf>
    <xf numFmtId="165" fontId="22" fillId="15" borderId="24" xfId="6" applyNumberFormat="1" applyFont="1" applyFill="1" applyBorder="1" applyAlignment="1">
      <alignment horizontal="center" vertical="center"/>
    </xf>
    <xf numFmtId="165" fontId="2" fillId="15" borderId="9" xfId="0" applyNumberFormat="1" applyFont="1" applyFill="1" applyBorder="1" applyAlignment="1">
      <alignment horizontal="center" vertical="center"/>
    </xf>
    <xf numFmtId="165" fontId="2" fillId="15" borderId="7" xfId="0" applyNumberFormat="1" applyFont="1" applyFill="1" applyBorder="1" applyAlignment="1">
      <alignment horizontal="center" vertical="center"/>
    </xf>
    <xf numFmtId="165" fontId="2" fillId="15" borderId="4" xfId="0" applyNumberFormat="1" applyFont="1" applyFill="1" applyBorder="1" applyAlignment="1">
      <alignment horizontal="left" vertical="center"/>
    </xf>
    <xf numFmtId="165" fontId="2" fillId="0" borderId="4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3" fillId="14" borderId="24" xfId="6" applyNumberFormat="1" applyFont="1" applyFill="1" applyBorder="1" applyAlignment="1">
      <alignment horizontal="center" vertical="center"/>
    </xf>
    <xf numFmtId="165" fontId="3" fillId="18" borderId="6" xfId="0" applyNumberFormat="1" applyFont="1" applyFill="1" applyBorder="1" applyAlignment="1">
      <alignment horizontal="center" vertical="center" wrapText="1"/>
    </xf>
    <xf numFmtId="165" fontId="3" fillId="18" borderId="9" xfId="6" applyNumberFormat="1" applyFont="1" applyFill="1" applyBorder="1" applyAlignment="1">
      <alignment horizontal="center" vertical="center"/>
    </xf>
    <xf numFmtId="165" fontId="3" fillId="18" borderId="7" xfId="6" applyNumberFormat="1" applyFont="1" applyFill="1" applyBorder="1" applyAlignment="1">
      <alignment horizontal="center" vertical="center"/>
    </xf>
    <xf numFmtId="165" fontId="3" fillId="18" borderId="17" xfId="6" applyNumberFormat="1" applyFont="1" applyFill="1" applyBorder="1" applyAlignment="1">
      <alignment horizontal="center" vertical="center"/>
    </xf>
    <xf numFmtId="165" fontId="3" fillId="14" borderId="9" xfId="6" applyNumberFormat="1" applyFont="1" applyFill="1" applyBorder="1" applyAlignment="1">
      <alignment horizontal="center" vertical="center"/>
    </xf>
    <xf numFmtId="165" fontId="3" fillId="14" borderId="7" xfId="6" applyNumberFormat="1" applyFont="1" applyFill="1" applyBorder="1" applyAlignment="1">
      <alignment horizontal="center" vertical="center"/>
    </xf>
    <xf numFmtId="165" fontId="3" fillId="14" borderId="17" xfId="6" applyNumberFormat="1" applyFont="1" applyFill="1" applyBorder="1" applyAlignment="1">
      <alignment horizontal="center" vertical="center"/>
    </xf>
    <xf numFmtId="165" fontId="3" fillId="18" borderId="25" xfId="6" applyNumberFormat="1" applyFont="1" applyFill="1" applyBorder="1" applyAlignment="1">
      <alignment horizontal="center" vertical="center"/>
    </xf>
    <xf numFmtId="165" fontId="3" fillId="18" borderId="9" xfId="0" applyNumberFormat="1" applyFont="1" applyFill="1" applyBorder="1" applyAlignment="1">
      <alignment horizontal="center" vertical="center"/>
    </xf>
    <xf numFmtId="165" fontId="3" fillId="18" borderId="7" xfId="0" applyNumberFormat="1" applyFont="1" applyFill="1" applyBorder="1" applyAlignment="1">
      <alignment horizontal="center" vertical="center"/>
    </xf>
    <xf numFmtId="165" fontId="3" fillId="18" borderId="17" xfId="0" applyNumberFormat="1" applyFont="1" applyFill="1" applyBorder="1" applyAlignment="1">
      <alignment horizontal="left" vertical="center"/>
    </xf>
    <xf numFmtId="165" fontId="3" fillId="4" borderId="64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5" fontId="3" fillId="3" borderId="10" xfId="6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165" fontId="14" fillId="0" borderId="24" xfId="0" applyNumberFormat="1" applyFont="1" applyFill="1" applyBorder="1" applyAlignment="1">
      <alignment horizontal="center" vertical="center"/>
    </xf>
    <xf numFmtId="165" fontId="3" fillId="20" borderId="2" xfId="0" applyNumberFormat="1" applyFont="1" applyFill="1" applyBorder="1" applyAlignment="1">
      <alignment horizontal="center" vertical="center" wrapText="1"/>
    </xf>
    <xf numFmtId="165" fontId="3" fillId="20" borderId="8" xfId="6" applyNumberFormat="1" applyFont="1" applyFill="1" applyBorder="1" applyAlignment="1">
      <alignment horizontal="center" vertical="center"/>
    </xf>
    <xf numFmtId="165" fontId="3" fillId="20" borderId="3" xfId="6" applyNumberFormat="1" applyFont="1" applyFill="1" applyBorder="1" applyAlignment="1">
      <alignment horizontal="center" vertical="center"/>
    </xf>
    <xf numFmtId="165" fontId="3" fillId="20" borderId="4" xfId="6" applyNumberFormat="1" applyFont="1" applyFill="1" applyBorder="1" applyAlignment="1">
      <alignment horizontal="center" vertical="center"/>
    </xf>
    <xf numFmtId="165" fontId="3" fillId="20" borderId="10" xfId="6" applyNumberFormat="1" applyFont="1" applyFill="1" applyBorder="1" applyAlignment="1">
      <alignment horizontal="center" vertical="center"/>
    </xf>
    <xf numFmtId="165" fontId="3" fillId="20" borderId="24" xfId="6" applyNumberFormat="1" applyFont="1" applyFill="1" applyBorder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2" fillId="15" borderId="10" xfId="0" applyNumberFormat="1" applyFont="1" applyFill="1" applyBorder="1" applyAlignment="1">
      <alignment horizontal="center" vertical="center"/>
    </xf>
    <xf numFmtId="165" fontId="52" fillId="0" borderId="3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14" borderId="2" xfId="0" applyNumberFormat="1" applyFont="1" applyFill="1" applyBorder="1" applyAlignment="1">
      <alignment horizontal="center" vertical="center" wrapText="1"/>
    </xf>
    <xf numFmtId="165" fontId="3" fillId="14" borderId="10" xfId="6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41" xfId="0" applyNumberFormat="1" applyFont="1" applyBorder="1" applyAlignment="1">
      <alignment horizontal="center" vertical="center"/>
    </xf>
    <xf numFmtId="167" fontId="3" fillId="3" borderId="6" xfId="0" applyNumberFormat="1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5" fontId="3" fillId="3" borderId="61" xfId="6" applyNumberFormat="1" applyFont="1" applyFill="1" applyBorder="1" applyAlignment="1">
      <alignment horizontal="center" vertical="center"/>
    </xf>
    <xf numFmtId="165" fontId="2" fillId="15" borderId="4" xfId="0" applyNumberFormat="1" applyFont="1" applyFill="1" applyBorder="1" applyAlignment="1">
      <alignment horizontal="left" vertical="center" wrapText="1"/>
    </xf>
    <xf numFmtId="165" fontId="2" fillId="15" borderId="7" xfId="0" applyNumberFormat="1" applyFont="1" applyFill="1" applyBorder="1" applyAlignment="1">
      <alignment horizontal="left" vertical="center" wrapText="1"/>
    </xf>
    <xf numFmtId="165" fontId="2" fillId="15" borderId="40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5" fontId="2" fillId="5" borderId="68" xfId="0" applyNumberFormat="1" applyFont="1" applyFill="1" applyBorder="1" applyAlignment="1">
      <alignment horizontal="center" vertical="center"/>
    </xf>
    <xf numFmtId="165" fontId="2" fillId="0" borderId="16" xfId="0" applyNumberFormat="1" applyFont="1" applyBorder="1" applyAlignment="1">
      <alignment horizontal="left" vertical="center"/>
    </xf>
    <xf numFmtId="165" fontId="3" fillId="3" borderId="69" xfId="6" applyNumberFormat="1" applyFont="1" applyFill="1" applyBorder="1" applyAlignment="1">
      <alignment horizontal="center" vertical="center"/>
    </xf>
    <xf numFmtId="165" fontId="2" fillId="5" borderId="69" xfId="0" applyNumberFormat="1" applyFont="1" applyFill="1" applyBorder="1" applyAlignment="1">
      <alignment horizontal="center" vertical="center"/>
    </xf>
    <xf numFmtId="165" fontId="2" fillId="5" borderId="24" xfId="0" applyNumberFormat="1" applyFont="1" applyFill="1" applyBorder="1" applyAlignment="1">
      <alignment horizontal="center" vertical="center"/>
    </xf>
    <xf numFmtId="165" fontId="2" fillId="5" borderId="70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3" fillId="3" borderId="70" xfId="6" applyNumberFormat="1" applyFont="1" applyFill="1" applyBorder="1" applyAlignment="1">
      <alignment horizontal="center" vertical="center"/>
    </xf>
    <xf numFmtId="165" fontId="2" fillId="0" borderId="16" xfId="0" applyNumberFormat="1" applyFont="1" applyBorder="1" applyAlignment="1">
      <alignment horizontal="left" vertical="center" wrapText="1"/>
    </xf>
    <xf numFmtId="165" fontId="3" fillId="3" borderId="54" xfId="6" applyNumberFormat="1" applyFont="1" applyFill="1" applyBorder="1" applyAlignment="1">
      <alignment horizontal="center" vertical="center"/>
    </xf>
    <xf numFmtId="165" fontId="3" fillId="4" borderId="13" xfId="6" applyNumberFormat="1" applyFont="1" applyFill="1" applyBorder="1" applyAlignment="1">
      <alignment horizontal="center" vertical="center"/>
    </xf>
    <xf numFmtId="165" fontId="3" fillId="4" borderId="1" xfId="6" applyNumberFormat="1" applyFont="1" applyFill="1" applyBorder="1" applyAlignment="1">
      <alignment horizontal="center" vertical="center"/>
    </xf>
    <xf numFmtId="165" fontId="3" fillId="4" borderId="78" xfId="6" applyNumberFormat="1" applyFont="1" applyFill="1" applyBorder="1" applyAlignment="1">
      <alignment horizontal="center" vertical="center"/>
    </xf>
    <xf numFmtId="165" fontId="3" fillId="4" borderId="46" xfId="0" applyNumberFormat="1" applyFont="1" applyFill="1" applyBorder="1" applyAlignment="1">
      <alignment horizontal="center" vertical="center" wrapText="1"/>
    </xf>
    <xf numFmtId="165" fontId="3" fillId="21" borderId="1" xfId="0" applyNumberFormat="1" applyFont="1" applyFill="1" applyBorder="1" applyAlignment="1">
      <alignment horizontal="center" vertical="center"/>
    </xf>
    <xf numFmtId="165" fontId="3" fillId="21" borderId="5" xfId="0" applyNumberFormat="1" applyFont="1" applyFill="1" applyBorder="1" applyAlignment="1">
      <alignment horizontal="center" vertical="center"/>
    </xf>
    <xf numFmtId="165" fontId="3" fillId="21" borderId="1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vertical="center"/>
    </xf>
    <xf numFmtId="165" fontId="3" fillId="3" borderId="3" xfId="0" applyNumberFormat="1" applyFont="1" applyFill="1" applyBorder="1" applyAlignment="1">
      <alignment horizontal="left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27" xfId="0" applyNumberFormat="1" applyFont="1" applyFill="1" applyBorder="1" applyAlignment="1">
      <alignment horizontal="center" vertical="center"/>
    </xf>
    <xf numFmtId="165" fontId="3" fillId="7" borderId="31" xfId="0" applyNumberFormat="1" applyFont="1" applyFill="1" applyBorder="1" applyAlignment="1">
      <alignment horizontal="center" vertical="center"/>
    </xf>
    <xf numFmtId="165" fontId="3" fillId="7" borderId="32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left" vertical="center" wrapText="1"/>
    </xf>
    <xf numFmtId="165" fontId="2" fillId="0" borderId="61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3" fillId="12" borderId="9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16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left" vertical="center" wrapText="1"/>
    </xf>
    <xf numFmtId="165" fontId="2" fillId="0" borderId="3" xfId="2" applyNumberFormat="1" applyFont="1" applyFill="1" applyBorder="1" applyAlignment="1">
      <alignment horizontal="center" vertical="center" wrapText="1"/>
    </xf>
    <xf numFmtId="165" fontId="2" fillId="0" borderId="7" xfId="2" applyNumberFormat="1" applyFont="1" applyFill="1" applyBorder="1" applyAlignment="1">
      <alignment horizontal="center" vertical="center" wrapText="1"/>
    </xf>
    <xf numFmtId="1" fontId="2" fillId="15" borderId="3" xfId="2" applyNumberFormat="1" applyFont="1" applyFill="1" applyBorder="1" applyAlignment="1">
      <alignment horizontal="center" vertical="center"/>
    </xf>
    <xf numFmtId="1" fontId="2" fillId="15" borderId="7" xfId="2" applyNumberFormat="1" applyFont="1" applyFill="1" applyBorder="1" applyAlignment="1">
      <alignment horizontal="center" vertical="center"/>
    </xf>
    <xf numFmtId="165" fontId="3" fillId="4" borderId="27" xfId="0" applyNumberFormat="1" applyFont="1" applyFill="1" applyBorder="1" applyAlignment="1">
      <alignment horizontal="center" vertical="center"/>
    </xf>
    <xf numFmtId="165" fontId="3" fillId="4" borderId="46" xfId="0" applyNumberFormat="1" applyFont="1" applyFill="1" applyBorder="1" applyAlignment="1">
      <alignment horizontal="center" vertical="center"/>
    </xf>
    <xf numFmtId="165" fontId="4" fillId="4" borderId="33" xfId="0" applyNumberFormat="1" applyFont="1" applyFill="1" applyBorder="1" applyAlignment="1">
      <alignment horizontal="left" vertical="center" wrapText="1"/>
    </xf>
    <xf numFmtId="165" fontId="4" fillId="4" borderId="46" xfId="0" applyNumberFormat="1" applyFont="1" applyFill="1" applyBorder="1" applyAlignment="1">
      <alignment horizontal="left" vertical="center" wrapText="1"/>
    </xf>
    <xf numFmtId="165" fontId="4" fillId="4" borderId="64" xfId="0" applyNumberFormat="1" applyFont="1" applyFill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left" vertical="center" wrapText="1"/>
    </xf>
    <xf numFmtId="165" fontId="2" fillId="0" borderId="15" xfId="2" applyNumberFormat="1" applyFont="1" applyBorder="1" applyAlignment="1">
      <alignment horizontal="center" vertical="center" wrapText="1"/>
    </xf>
    <xf numFmtId="165" fontId="2" fillId="0" borderId="3" xfId="2" applyNumberFormat="1" applyFont="1" applyBorder="1" applyAlignment="1">
      <alignment horizontal="center" vertical="center" wrapText="1"/>
    </xf>
    <xf numFmtId="1" fontId="2" fillId="15" borderId="15" xfId="2" applyNumberFormat="1" applyFont="1" applyFill="1" applyBorder="1" applyAlignment="1">
      <alignment horizontal="center" vertical="center"/>
    </xf>
    <xf numFmtId="165" fontId="2" fillId="0" borderId="65" xfId="0" applyNumberFormat="1" applyFont="1" applyFill="1" applyBorder="1" applyAlignment="1">
      <alignment horizontal="left" vertical="center" wrapText="1"/>
    </xf>
    <xf numFmtId="49" fontId="3" fillId="12" borderId="31" xfId="0" applyNumberFormat="1" applyFont="1" applyFill="1" applyBorder="1" applyAlignment="1">
      <alignment horizontal="center" vertical="center"/>
    </xf>
    <xf numFmtId="49" fontId="3" fillId="16" borderId="32" xfId="0" applyNumberFormat="1" applyFont="1" applyFill="1" applyBorder="1" applyAlignment="1">
      <alignment horizontal="center" vertical="center"/>
    </xf>
    <xf numFmtId="49" fontId="3" fillId="15" borderId="7" xfId="0" applyNumberFormat="1" applyFont="1" applyFill="1" applyBorder="1" applyAlignment="1">
      <alignment horizontal="center" vertical="center"/>
    </xf>
    <xf numFmtId="49" fontId="3" fillId="15" borderId="32" xfId="0" applyNumberFormat="1" applyFont="1" applyFill="1" applyBorder="1" applyAlignment="1">
      <alignment horizontal="center" vertical="center"/>
    </xf>
    <xf numFmtId="165" fontId="2" fillId="15" borderId="7" xfId="2" applyNumberFormat="1" applyFont="1" applyFill="1" applyBorder="1" applyAlignment="1">
      <alignment horizontal="center" vertical="center" wrapText="1"/>
    </xf>
    <xf numFmtId="165" fontId="2" fillId="15" borderId="32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center" vertical="center" wrapText="1"/>
    </xf>
    <xf numFmtId="49" fontId="2" fillId="0" borderId="32" xfId="2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justify" vertical="center" wrapText="1"/>
    </xf>
    <xf numFmtId="165" fontId="2" fillId="0" borderId="42" xfId="0" applyNumberFormat="1" applyFont="1" applyBorder="1" applyAlignment="1">
      <alignment horizontal="justify" vertical="center" wrapText="1"/>
    </xf>
    <xf numFmtId="165" fontId="2" fillId="0" borderId="71" xfId="0" applyNumberFormat="1" applyFont="1" applyBorder="1" applyAlignment="1">
      <alignment horizontal="justify" vertical="center" wrapText="1"/>
    </xf>
    <xf numFmtId="49" fontId="3" fillId="12" borderId="39" xfId="0" applyNumberFormat="1" applyFont="1" applyFill="1" applyBorder="1" applyAlignment="1">
      <alignment horizontal="center" vertical="center"/>
    </xf>
    <xf numFmtId="49" fontId="3" fillId="16" borderId="40" xfId="0" applyNumberFormat="1" applyFont="1" applyFill="1" applyBorder="1" applyAlignment="1">
      <alignment horizontal="center" vertical="center"/>
    </xf>
    <xf numFmtId="49" fontId="3" fillId="15" borderId="40" xfId="0" applyNumberFormat="1" applyFont="1" applyFill="1" applyBorder="1" applyAlignment="1">
      <alignment horizontal="center" vertical="center"/>
    </xf>
    <xf numFmtId="165" fontId="2" fillId="15" borderId="7" xfId="0" applyNumberFormat="1" applyFont="1" applyFill="1" applyBorder="1" applyAlignment="1">
      <alignment horizontal="left" vertical="center" wrapText="1"/>
    </xf>
    <xf numFmtId="165" fontId="2" fillId="15" borderId="40" xfId="0" applyNumberFormat="1" applyFont="1" applyFill="1" applyBorder="1" applyAlignment="1">
      <alignment horizontal="left" vertical="center" wrapText="1"/>
    </xf>
    <xf numFmtId="165" fontId="2" fillId="15" borderId="40" xfId="2" applyNumberFormat="1" applyFont="1" applyFill="1" applyBorder="1" applyAlignment="1">
      <alignment horizontal="center" vertical="center" wrapText="1"/>
    </xf>
    <xf numFmtId="49" fontId="2" fillId="0" borderId="40" xfId="2" applyNumberFormat="1" applyFont="1" applyBorder="1" applyAlignment="1">
      <alignment horizontal="center" vertical="center" wrapText="1"/>
    </xf>
    <xf numFmtId="165" fontId="2" fillId="15" borderId="7" xfId="0" applyNumberFormat="1" applyFont="1" applyFill="1" applyBorder="1" applyAlignment="1">
      <alignment horizontal="center" vertical="center"/>
    </xf>
    <xf numFmtId="165" fontId="2" fillId="15" borderId="15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3" fillId="0" borderId="3" xfId="0" quotePrefix="1" applyNumberFormat="1" applyFont="1" applyFill="1" applyBorder="1" applyAlignment="1">
      <alignment horizontal="center" vertical="center"/>
    </xf>
    <xf numFmtId="0" fontId="3" fillId="0" borderId="7" xfId="0" quotePrefix="1" applyNumberFormat="1" applyFont="1" applyFill="1" applyBorder="1" applyAlignment="1">
      <alignment horizontal="center" vertical="center"/>
    </xf>
    <xf numFmtId="167" fontId="2" fillId="15" borderId="3" xfId="0" applyNumberFormat="1" applyFont="1" applyFill="1" applyBorder="1" applyAlignment="1">
      <alignment horizontal="left" vertical="center" wrapText="1"/>
    </xf>
    <xf numFmtId="0" fontId="0" fillId="15" borderId="7" xfId="0" applyFill="1" applyBorder="1" applyAlignment="1">
      <alignment horizontal="left" vertical="center" wrapText="1"/>
    </xf>
    <xf numFmtId="167" fontId="2" fillId="0" borderId="7" xfId="2" applyNumberFormat="1" applyFont="1" applyFill="1" applyBorder="1" applyAlignment="1">
      <alignment horizontal="center" vertical="center" wrapText="1"/>
    </xf>
    <xf numFmtId="167" fontId="2" fillId="0" borderId="40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/>
    </xf>
    <xf numFmtId="49" fontId="2" fillId="0" borderId="7" xfId="2" applyNumberFormat="1" applyFont="1" applyFill="1" applyBorder="1" applyAlignment="1">
      <alignment horizontal="center" vertical="center"/>
    </xf>
    <xf numFmtId="167" fontId="2" fillId="0" borderId="24" xfId="0" applyNumberFormat="1" applyFont="1" applyFill="1" applyBorder="1" applyAlignment="1">
      <alignment horizontal="justify" vertical="center"/>
    </xf>
    <xf numFmtId="167" fontId="2" fillId="0" borderId="25" xfId="0" applyNumberFormat="1" applyFont="1" applyFill="1" applyBorder="1" applyAlignment="1">
      <alignment horizontal="justify" vertical="center"/>
    </xf>
    <xf numFmtId="165" fontId="2" fillId="0" borderId="11" xfId="0" applyNumberFormat="1" applyFont="1" applyFill="1" applyBorder="1" applyAlignment="1">
      <alignment horizontal="justify" vertical="center" wrapText="1"/>
    </xf>
    <xf numFmtId="165" fontId="2" fillId="0" borderId="24" xfId="0" applyNumberFormat="1" applyFont="1" applyFill="1" applyBorder="1" applyAlignment="1">
      <alignment horizontal="justify" vertical="center" wrapText="1"/>
    </xf>
    <xf numFmtId="49" fontId="3" fillId="15" borderId="3" xfId="0" applyNumberFormat="1" applyFont="1" applyFill="1" applyBorder="1" applyAlignment="1">
      <alignment horizontal="center" vertical="center"/>
    </xf>
    <xf numFmtId="165" fontId="2" fillId="15" borderId="3" xfId="0" applyNumberFormat="1" applyFont="1" applyFill="1" applyBorder="1" applyAlignment="1">
      <alignment horizontal="left" vertical="center" wrapText="1"/>
    </xf>
    <xf numFmtId="165" fontId="2" fillId="15" borderId="3" xfId="2" applyNumberFormat="1" applyFont="1" applyFill="1" applyBorder="1" applyAlignment="1">
      <alignment horizontal="center" vertical="center" wrapText="1"/>
    </xf>
    <xf numFmtId="49" fontId="2" fillId="15" borderId="3" xfId="2" applyNumberFormat="1" applyFont="1" applyFill="1" applyBorder="1" applyAlignment="1">
      <alignment horizontal="center" vertical="center" wrapText="1"/>
    </xf>
    <xf numFmtId="1" fontId="2" fillId="15" borderId="3" xfId="2" applyNumberFormat="1" applyFont="1" applyFill="1" applyBorder="1" applyAlignment="1">
      <alignment horizontal="center" vertical="center" wrapText="1"/>
    </xf>
    <xf numFmtId="165" fontId="2" fillId="15" borderId="40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40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justify" vertical="center" wrapText="1"/>
    </xf>
    <xf numFmtId="49" fontId="3" fillId="0" borderId="40" xfId="0" applyNumberFormat="1" applyFont="1" applyBorder="1" applyAlignment="1">
      <alignment horizontal="center" vertical="center"/>
    </xf>
    <xf numFmtId="165" fontId="2" fillId="0" borderId="40" xfId="0" applyNumberFormat="1" applyFont="1" applyFill="1" applyBorder="1" applyAlignment="1">
      <alignment horizontal="left" vertical="center" wrapText="1"/>
    </xf>
    <xf numFmtId="165" fontId="2" fillId="15" borderId="15" xfId="2" applyNumberFormat="1" applyFont="1" applyFill="1" applyBorder="1" applyAlignment="1">
      <alignment horizontal="center" vertical="center" wrapText="1"/>
    </xf>
    <xf numFmtId="1" fontId="2" fillId="15" borderId="40" xfId="2" applyNumberFormat="1" applyFont="1" applyFill="1" applyBorder="1" applyAlignment="1">
      <alignment horizontal="center" vertical="center" wrapText="1"/>
    </xf>
    <xf numFmtId="1" fontId="2" fillId="15" borderId="15" xfId="2" applyNumberFormat="1" applyFont="1" applyFill="1" applyBorder="1" applyAlignment="1">
      <alignment horizontal="center" vertical="center" wrapText="1"/>
    </xf>
    <xf numFmtId="1" fontId="2" fillId="0" borderId="3" xfId="2" applyNumberFormat="1" applyFont="1" applyFill="1" applyBorder="1" applyAlignment="1">
      <alignment horizontal="center" vertical="center" wrapText="1"/>
    </xf>
    <xf numFmtId="165" fontId="4" fillId="4" borderId="27" xfId="0" applyNumberFormat="1" applyFont="1" applyFill="1" applyBorder="1" applyAlignment="1">
      <alignment horizontal="left" vertical="center" wrapText="1"/>
    </xf>
    <xf numFmtId="165" fontId="2" fillId="15" borderId="15" xfId="0" applyNumberFormat="1" applyFont="1" applyFill="1" applyBorder="1" applyAlignment="1">
      <alignment horizontal="left" vertical="center" wrapText="1"/>
    </xf>
    <xf numFmtId="165" fontId="2" fillId="0" borderId="26" xfId="0" applyNumberFormat="1" applyFont="1" applyFill="1" applyBorder="1" applyAlignment="1">
      <alignment horizontal="justify" vertical="center" wrapText="1"/>
    </xf>
    <xf numFmtId="165" fontId="2" fillId="0" borderId="25" xfId="0" applyNumberFormat="1" applyFont="1" applyFill="1" applyBorder="1" applyAlignment="1">
      <alignment horizontal="justify" vertical="center" wrapText="1"/>
    </xf>
    <xf numFmtId="165" fontId="2" fillId="0" borderId="71" xfId="0" applyNumberFormat="1" applyFont="1" applyFill="1" applyBorder="1" applyAlignment="1">
      <alignment horizontal="justify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165" fontId="2" fillId="0" borderId="40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Fill="1" applyBorder="1" applyAlignment="1">
      <alignment horizontal="center" vertical="center" wrapText="1"/>
    </xf>
    <xf numFmtId="49" fontId="2" fillId="0" borderId="40" xfId="2" applyNumberFormat="1" applyFont="1" applyFill="1" applyBorder="1" applyAlignment="1">
      <alignment horizontal="center" vertical="center" wrapText="1"/>
    </xf>
    <xf numFmtId="49" fontId="2" fillId="0" borderId="15" xfId="2" applyNumberFormat="1" applyFont="1" applyFill="1" applyBorder="1" applyAlignment="1">
      <alignment horizontal="center" vertical="center" wrapText="1"/>
    </xf>
    <xf numFmtId="49" fontId="2" fillId="15" borderId="7" xfId="2" applyNumberFormat="1" applyFont="1" applyFill="1" applyBorder="1" applyAlignment="1">
      <alignment horizontal="center" vertical="center" wrapText="1"/>
    </xf>
    <xf numFmtId="49" fontId="2" fillId="15" borderId="40" xfId="2" applyNumberFormat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justify" vertical="center" wrapText="1"/>
    </xf>
    <xf numFmtId="165" fontId="2" fillId="0" borderId="41" xfId="0" applyNumberFormat="1" applyFont="1" applyBorder="1" applyAlignment="1">
      <alignment horizontal="justify" vertical="center" wrapText="1"/>
    </xf>
    <xf numFmtId="165" fontId="14" fillId="15" borderId="7" xfId="0" applyNumberFormat="1" applyFont="1" applyFill="1" applyBorder="1" applyAlignment="1">
      <alignment horizontal="left" vertical="center" wrapText="1"/>
    </xf>
    <xf numFmtId="165" fontId="14" fillId="15" borderId="40" xfId="0" applyNumberFormat="1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39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horizontal="left" vertical="center" wrapText="1"/>
    </xf>
    <xf numFmtId="165" fontId="14" fillId="0" borderId="40" xfId="0" applyNumberFormat="1" applyFont="1" applyFill="1" applyBorder="1" applyAlignment="1">
      <alignment horizontal="left" vertical="center" wrapText="1"/>
    </xf>
    <xf numFmtId="165" fontId="3" fillId="6" borderId="33" xfId="0" applyNumberFormat="1" applyFont="1" applyFill="1" applyBorder="1" applyAlignment="1">
      <alignment horizontal="left" vertical="center" wrapText="1"/>
    </xf>
    <xf numFmtId="165" fontId="3" fillId="6" borderId="46" xfId="0" applyNumberFormat="1" applyFont="1" applyFill="1" applyBorder="1" applyAlignment="1">
      <alignment horizontal="left" vertical="center" wrapText="1"/>
    </xf>
    <xf numFmtId="165" fontId="3" fillId="6" borderId="64" xfId="0" applyNumberFormat="1" applyFont="1" applyFill="1" applyBorder="1" applyAlignment="1">
      <alignment horizontal="left" vertical="center" wrapText="1"/>
    </xf>
    <xf numFmtId="165" fontId="3" fillId="2" borderId="27" xfId="0" applyNumberFormat="1" applyFont="1" applyFill="1" applyBorder="1" applyAlignment="1">
      <alignment horizontal="left" vertical="center" wrapText="1"/>
    </xf>
    <xf numFmtId="165" fontId="3" fillId="2" borderId="46" xfId="0" applyNumberFormat="1" applyFont="1" applyFill="1" applyBorder="1" applyAlignment="1">
      <alignment horizontal="left" vertical="center" wrapText="1"/>
    </xf>
    <xf numFmtId="165" fontId="3" fillId="2" borderId="64" xfId="0" applyNumberFormat="1" applyFont="1" applyFill="1" applyBorder="1" applyAlignment="1">
      <alignment horizontal="left" vertical="center" wrapText="1"/>
    </xf>
    <xf numFmtId="165" fontId="4" fillId="4" borderId="60" xfId="0" applyNumberFormat="1" applyFont="1" applyFill="1" applyBorder="1" applyAlignment="1">
      <alignment horizontal="left" vertical="center" wrapText="1"/>
    </xf>
    <xf numFmtId="165" fontId="4" fillId="4" borderId="51" xfId="0" applyNumberFormat="1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62" xfId="0" applyFont="1" applyFill="1" applyBorder="1" applyAlignment="1">
      <alignment horizontal="center" vertical="center" textRotation="90" wrapText="1"/>
    </xf>
    <xf numFmtId="0" fontId="2" fillId="0" borderId="71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" fontId="2" fillId="0" borderId="7" xfId="2" applyNumberFormat="1" applyFont="1" applyBorder="1" applyAlignment="1">
      <alignment horizontal="center" vertical="center" wrapText="1"/>
    </xf>
    <xf numFmtId="1" fontId="2" fillId="0" borderId="40" xfId="2" applyNumberFormat="1" applyFont="1" applyBorder="1" applyAlignment="1">
      <alignment horizontal="center" vertical="center" wrapText="1"/>
    </xf>
    <xf numFmtId="1" fontId="2" fillId="0" borderId="15" xfId="2" applyNumberFormat="1" applyFont="1" applyBorder="1" applyAlignment="1">
      <alignment horizontal="center" vertical="center" wrapText="1"/>
    </xf>
    <xf numFmtId="165" fontId="2" fillId="0" borderId="75" xfId="0" applyNumberFormat="1" applyFont="1" applyBorder="1" applyAlignment="1">
      <alignment horizontal="justify" vertical="center" wrapText="1"/>
    </xf>
    <xf numFmtId="165" fontId="2" fillId="0" borderId="67" xfId="0" applyNumberFormat="1" applyFont="1" applyBorder="1" applyAlignment="1">
      <alignment horizontal="justify" vertical="center" wrapText="1"/>
    </xf>
    <xf numFmtId="165" fontId="2" fillId="0" borderId="62" xfId="0" applyNumberFormat="1" applyFont="1" applyFill="1" applyBorder="1" applyAlignment="1">
      <alignment horizontal="center" vertical="center"/>
    </xf>
    <xf numFmtId="165" fontId="2" fillId="0" borderId="71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165" fontId="2" fillId="0" borderId="40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 textRotation="90" wrapText="1"/>
    </xf>
    <xf numFmtId="49" fontId="2" fillId="0" borderId="39" xfId="0" applyNumberFormat="1" applyFont="1" applyBorder="1" applyAlignment="1">
      <alignment horizontal="center" vertical="center" textRotation="90" wrapText="1"/>
    </xf>
    <xf numFmtId="49" fontId="2" fillId="0" borderId="31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5" fontId="2" fillId="0" borderId="52" xfId="0" applyNumberFormat="1" applyFont="1" applyFill="1" applyBorder="1" applyAlignment="1">
      <alignment horizontal="center" vertical="center" wrapText="1"/>
    </xf>
    <xf numFmtId="165" fontId="3" fillId="10" borderId="33" xfId="0" applyNumberFormat="1" applyFont="1" applyFill="1" applyBorder="1" applyAlignment="1">
      <alignment horizontal="left" vertical="center" wrapText="1"/>
    </xf>
    <xf numFmtId="165" fontId="3" fillId="10" borderId="46" xfId="0" applyNumberFormat="1" applyFont="1" applyFill="1" applyBorder="1" applyAlignment="1">
      <alignment horizontal="left" vertical="center" wrapText="1"/>
    </xf>
    <xf numFmtId="165" fontId="3" fillId="10" borderId="49" xfId="0" applyNumberFormat="1" applyFont="1" applyFill="1" applyBorder="1" applyAlignment="1">
      <alignment horizontal="left" vertical="center" wrapText="1"/>
    </xf>
    <xf numFmtId="165" fontId="3" fillId="10" borderId="50" xfId="0" applyNumberFormat="1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 wrapText="1"/>
    </xf>
    <xf numFmtId="165" fontId="2" fillId="0" borderId="66" xfId="0" applyNumberFormat="1" applyFont="1" applyFill="1" applyBorder="1" applyAlignment="1">
      <alignment horizontal="center" vertical="center" wrapText="1"/>
    </xf>
    <xf numFmtId="165" fontId="2" fillId="0" borderId="3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40" xfId="7" applyNumberFormat="1" applyFont="1" applyBorder="1" applyAlignment="1">
      <alignment horizontal="center" vertical="center" wrapText="1"/>
    </xf>
    <xf numFmtId="49" fontId="2" fillId="0" borderId="15" xfId="7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4" applyFont="1" applyAlignment="1">
      <alignment horizontal="center" vertical="top" wrapText="1"/>
    </xf>
    <xf numFmtId="0" fontId="2" fillId="0" borderId="4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36" fillId="0" borderId="15" xfId="7" applyFont="1" applyBorder="1"/>
    <xf numFmtId="165" fontId="2" fillId="0" borderId="65" xfId="0" applyNumberFormat="1" applyFont="1" applyBorder="1" applyAlignment="1">
      <alignment horizontal="justify" vertical="center" wrapText="1"/>
    </xf>
    <xf numFmtId="165" fontId="2" fillId="0" borderId="10" xfId="0" applyNumberFormat="1" applyFont="1" applyBorder="1" applyAlignment="1">
      <alignment horizontal="justify" vertical="center" wrapText="1"/>
    </xf>
    <xf numFmtId="165" fontId="2" fillId="0" borderId="47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44" xfId="0" applyNumberFormat="1" applyFont="1" applyBorder="1" applyAlignment="1">
      <alignment horizontal="center" vertical="center"/>
    </xf>
    <xf numFmtId="165" fontId="2" fillId="0" borderId="40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45" xfId="0" applyNumberFormat="1" applyFont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 wrapText="1"/>
    </xf>
    <xf numFmtId="49" fontId="3" fillId="2" borderId="3" xfId="0" applyNumberFormat="1" applyFont="1" applyFill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3" fillId="10" borderId="64" xfId="0" applyNumberFormat="1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horizontal="left" vertical="center" wrapText="1"/>
    </xf>
    <xf numFmtId="0" fontId="3" fillId="6" borderId="46" xfId="0" applyFont="1" applyFill="1" applyBorder="1" applyAlignment="1">
      <alignment horizontal="left" vertical="center" wrapText="1"/>
    </xf>
    <xf numFmtId="0" fontId="3" fillId="6" borderId="64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64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horizontal="left" vertical="center" wrapText="1"/>
    </xf>
    <xf numFmtId="0" fontId="3" fillId="4" borderId="64" xfId="0" applyFont="1" applyFill="1" applyBorder="1" applyAlignment="1">
      <alignment horizontal="left" vertical="center" wrapText="1"/>
    </xf>
    <xf numFmtId="49" fontId="3" fillId="2" borderId="21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4" borderId="22" xfId="0" applyNumberFormat="1" applyFont="1" applyFill="1" applyBorder="1" applyAlignment="1">
      <alignment horizontal="center" vertical="center"/>
    </xf>
    <xf numFmtId="49" fontId="3" fillId="4" borderId="40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justify" vertical="center" wrapText="1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43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7" borderId="9" xfId="0" applyNumberFormat="1" applyFont="1" applyFill="1" applyBorder="1" applyAlignment="1">
      <alignment horizontal="center" vertical="center"/>
    </xf>
    <xf numFmtId="165" fontId="2" fillId="7" borderId="39" xfId="0" applyNumberFormat="1" applyFont="1" applyFill="1" applyBorder="1" applyAlignment="1">
      <alignment horizontal="center" vertical="center"/>
    </xf>
    <xf numFmtId="165" fontId="2" fillId="7" borderId="14" xfId="0" applyNumberFormat="1" applyFont="1" applyFill="1" applyBorder="1" applyAlignment="1">
      <alignment horizontal="center" vertical="center"/>
    </xf>
    <xf numFmtId="165" fontId="2" fillId="7" borderId="7" xfId="0" applyNumberFormat="1" applyFont="1" applyFill="1" applyBorder="1" applyAlignment="1">
      <alignment horizontal="center" vertical="center"/>
    </xf>
    <xf numFmtId="165" fontId="2" fillId="7" borderId="40" xfId="0" applyNumberFormat="1" applyFont="1" applyFill="1" applyBorder="1" applyAlignment="1">
      <alignment horizontal="center" vertical="center"/>
    </xf>
    <xf numFmtId="165" fontId="2" fillId="7" borderId="15" xfId="0" applyNumberFormat="1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6" fillId="0" borderId="40" xfId="0" applyFont="1" applyBorder="1"/>
    <xf numFmtId="0" fontId="36" fillId="0" borderId="15" xfId="0" applyFont="1" applyBorder="1"/>
    <xf numFmtId="0" fontId="0" fillId="0" borderId="40" xfId="0" applyBorder="1"/>
    <xf numFmtId="0" fontId="0" fillId="0" borderId="15" xfId="0" applyBorder="1"/>
    <xf numFmtId="0" fontId="2" fillId="0" borderId="32" xfId="0" applyFont="1" applyFill="1" applyBorder="1" applyAlignment="1">
      <alignment horizontal="left" vertical="center" wrapText="1"/>
    </xf>
    <xf numFmtId="49" fontId="2" fillId="0" borderId="32" xfId="7" applyNumberFormat="1" applyFont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 wrapText="1"/>
    </xf>
    <xf numFmtId="165" fontId="2" fillId="0" borderId="71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 wrapText="1"/>
    </xf>
    <xf numFmtId="165" fontId="43" fillId="0" borderId="17" xfId="0" applyNumberFormat="1" applyFont="1" applyFill="1" applyBorder="1" applyAlignment="1">
      <alignment horizontal="center" vertical="center" wrapText="1"/>
    </xf>
    <xf numFmtId="165" fontId="43" fillId="0" borderId="43" xfId="0" applyNumberFormat="1" applyFont="1" applyFill="1" applyBorder="1" applyAlignment="1">
      <alignment horizontal="center" vertical="center" wrapText="1"/>
    </xf>
    <xf numFmtId="165" fontId="43" fillId="0" borderId="16" xfId="0" applyNumberFormat="1" applyFont="1" applyFill="1" applyBorder="1" applyAlignment="1">
      <alignment horizontal="center" vertical="center" wrapText="1"/>
    </xf>
    <xf numFmtId="165" fontId="2" fillId="0" borderId="70" xfId="0" applyNumberFormat="1" applyFont="1" applyFill="1" applyBorder="1" applyAlignment="1">
      <alignment horizontal="left" vertical="center" wrapText="1"/>
    </xf>
    <xf numFmtId="165" fontId="2" fillId="0" borderId="38" xfId="0" applyNumberFormat="1" applyFont="1" applyFill="1" applyBorder="1" applyAlignment="1">
      <alignment horizontal="left" vertical="center" wrapText="1"/>
    </xf>
    <xf numFmtId="165" fontId="2" fillId="0" borderId="68" xfId="0" applyNumberFormat="1" applyFont="1" applyFill="1" applyBorder="1" applyAlignment="1">
      <alignment horizontal="left" vertical="center" wrapText="1"/>
    </xf>
    <xf numFmtId="165" fontId="2" fillId="0" borderId="62" xfId="0" applyNumberFormat="1" applyFont="1" applyFill="1" applyBorder="1" applyAlignment="1">
      <alignment horizontal="center" vertical="center" wrapText="1"/>
    </xf>
    <xf numFmtId="165" fontId="2" fillId="0" borderId="67" xfId="0" applyNumberFormat="1" applyFont="1" applyFill="1" applyBorder="1" applyAlignment="1">
      <alignment horizontal="center" vertical="center" wrapText="1"/>
    </xf>
    <xf numFmtId="165" fontId="2" fillId="0" borderId="47" xfId="0" applyNumberFormat="1" applyFont="1" applyFill="1" applyBorder="1" applyAlignment="1">
      <alignment horizontal="center" vertical="center" wrapText="1"/>
    </xf>
    <xf numFmtId="165" fontId="2" fillId="0" borderId="44" xfId="0" applyNumberFormat="1" applyFont="1" applyFill="1" applyBorder="1" applyAlignment="1">
      <alignment horizontal="center" vertical="center" wrapText="1"/>
    </xf>
    <xf numFmtId="165" fontId="2" fillId="0" borderId="51" xfId="0" applyNumberFormat="1" applyFont="1" applyFill="1" applyBorder="1" applyAlignment="1">
      <alignment horizontal="center" vertical="center" wrapText="1"/>
    </xf>
    <xf numFmtId="165" fontId="2" fillId="0" borderId="38" xfId="0" applyNumberFormat="1" applyFont="1" applyFill="1" applyBorder="1" applyAlignment="1">
      <alignment horizontal="center" vertical="center" wrapText="1"/>
    </xf>
    <xf numFmtId="165" fontId="2" fillId="0" borderId="68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/>
    </xf>
    <xf numFmtId="49" fontId="8" fillId="4" borderId="19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7" xfId="7" applyFont="1" applyFill="1" applyBorder="1" applyAlignment="1">
      <alignment horizontal="center" vertical="center" wrapText="1"/>
    </xf>
    <xf numFmtId="0" fontId="2" fillId="0" borderId="40" xfId="7" applyFont="1" applyFill="1" applyBorder="1" applyAlignment="1">
      <alignment horizontal="center" vertical="center" wrapText="1"/>
    </xf>
    <xf numFmtId="0" fontId="2" fillId="0" borderId="32" xfId="7" applyFont="1" applyFill="1" applyBorder="1" applyAlignment="1">
      <alignment horizontal="center" vertical="center" wrapText="1"/>
    </xf>
    <xf numFmtId="49" fontId="2" fillId="0" borderId="7" xfId="7" applyNumberFormat="1" applyFont="1" applyFill="1" applyBorder="1" applyAlignment="1">
      <alignment horizontal="center" vertical="center" wrapText="1"/>
    </xf>
    <xf numFmtId="49" fontId="2" fillId="0" borderId="40" xfId="7" applyNumberFormat="1" applyFont="1" applyFill="1" applyBorder="1" applyAlignment="1">
      <alignment horizontal="center" vertical="center" wrapText="1"/>
    </xf>
    <xf numFmtId="49" fontId="2" fillId="0" borderId="32" xfId="7" applyNumberFormat="1" applyFont="1" applyFill="1" applyBorder="1" applyAlignment="1">
      <alignment horizontal="center" vertical="center" wrapText="1"/>
    </xf>
    <xf numFmtId="165" fontId="2" fillId="0" borderId="54" xfId="0" applyNumberFormat="1" applyFont="1" applyBorder="1" applyAlignment="1">
      <alignment horizontal="justify" vertical="center" wrapText="1"/>
    </xf>
    <xf numFmtId="49" fontId="2" fillId="0" borderId="3" xfId="7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39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40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43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49" fontId="8" fillId="2" borderId="75" xfId="0" applyNumberFormat="1" applyFont="1" applyFill="1" applyBorder="1" applyAlignment="1">
      <alignment horizontal="center" vertical="center"/>
    </xf>
    <xf numFmtId="49" fontId="8" fillId="2" borderId="41" xfId="0" applyNumberFormat="1" applyFont="1" applyFill="1" applyBorder="1" applyAlignment="1">
      <alignment horizontal="center" vertical="center"/>
    </xf>
    <xf numFmtId="49" fontId="8" fillId="2" borderId="48" xfId="0" applyNumberFormat="1" applyFont="1" applyFill="1" applyBorder="1" applyAlignment="1">
      <alignment horizontal="center" vertical="center"/>
    </xf>
    <xf numFmtId="49" fontId="8" fillId="4" borderId="44" xfId="0" applyNumberFormat="1" applyFont="1" applyFill="1" applyBorder="1" applyAlignment="1">
      <alignment horizontal="center" vertical="center"/>
    </xf>
    <xf numFmtId="49" fontId="8" fillId="4" borderId="40" xfId="0" applyNumberFormat="1" applyFont="1" applyFill="1" applyBorder="1" applyAlignment="1">
      <alignment horizontal="center" vertical="center"/>
    </xf>
    <xf numFmtId="49" fontId="8" fillId="4" borderId="32" xfId="0" applyNumberFormat="1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7" applyFont="1" applyFill="1" applyBorder="1" applyAlignment="1">
      <alignment horizontal="center" vertical="center" wrapText="1"/>
    </xf>
    <xf numFmtId="49" fontId="2" fillId="0" borderId="44" xfId="7" applyNumberFormat="1" applyFont="1" applyFill="1" applyBorder="1" applyAlignment="1">
      <alignment horizontal="center" vertical="center" wrapText="1"/>
    </xf>
    <xf numFmtId="165" fontId="2" fillId="0" borderId="47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165" fontId="2" fillId="0" borderId="44" xfId="0" applyNumberFormat="1" applyFont="1" applyFill="1" applyBorder="1" applyAlignment="1">
      <alignment horizontal="center" vertical="center"/>
    </xf>
    <xf numFmtId="165" fontId="2" fillId="0" borderId="32" xfId="0" applyNumberFormat="1" applyFont="1" applyFill="1" applyBorder="1" applyAlignment="1">
      <alignment horizontal="center" vertical="center"/>
    </xf>
    <xf numFmtId="165" fontId="2" fillId="0" borderId="45" xfId="0" applyNumberFormat="1" applyFont="1" applyFill="1" applyBorder="1" applyAlignment="1">
      <alignment horizontal="center" vertical="center"/>
    </xf>
    <xf numFmtId="165" fontId="2" fillId="0" borderId="52" xfId="0" applyNumberFormat="1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5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49" fontId="3" fillId="4" borderId="46" xfId="0" applyNumberFormat="1" applyFont="1" applyFill="1" applyBorder="1" applyAlignment="1">
      <alignment horizontal="center" vertical="center"/>
    </xf>
    <xf numFmtId="49" fontId="3" fillId="4" borderId="64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46" xfId="0" applyNumberFormat="1" applyFont="1" applyFill="1" applyBorder="1" applyAlignment="1">
      <alignment horizontal="center" vertical="center"/>
    </xf>
    <xf numFmtId="49" fontId="3" fillId="2" borderId="64" xfId="0" applyNumberFormat="1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46" fillId="9" borderId="0" xfId="0" applyFont="1" applyFill="1" applyAlignment="1">
      <alignment horizontal="center" vertical="center"/>
    </xf>
    <xf numFmtId="0" fontId="3" fillId="9" borderId="76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2" fillId="9" borderId="76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76" xfId="7" applyFont="1" applyFill="1" applyBorder="1" applyAlignment="1">
      <alignment horizontal="center" vertical="center" wrapText="1"/>
    </xf>
    <xf numFmtId="0" fontId="2" fillId="9" borderId="37" xfId="7" applyFont="1" applyFill="1" applyBorder="1" applyAlignment="1">
      <alignment horizontal="center" vertical="center" wrapText="1"/>
    </xf>
    <xf numFmtId="49" fontId="2" fillId="9" borderId="44" xfId="7" applyNumberFormat="1" applyFont="1" applyFill="1" applyBorder="1" applyAlignment="1">
      <alignment horizontal="center" vertical="center" wrapText="1"/>
    </xf>
    <xf numFmtId="49" fontId="2" fillId="9" borderId="32" xfId="7" applyNumberFormat="1" applyFont="1" applyFill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1" fontId="2" fillId="0" borderId="7" xfId="2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justify" vertical="center"/>
    </xf>
    <xf numFmtId="165" fontId="2" fillId="0" borderId="71" xfId="0" applyNumberFormat="1" applyFont="1" applyFill="1" applyBorder="1" applyAlignment="1">
      <alignment horizontal="justify" vertical="center"/>
    </xf>
    <xf numFmtId="49" fontId="8" fillId="4" borderId="27" xfId="0" applyNumberFormat="1" applyFont="1" applyFill="1" applyBorder="1" applyAlignment="1">
      <alignment horizontal="center" vertical="top"/>
    </xf>
    <xf numFmtId="49" fontId="8" fillId="4" borderId="46" xfId="0" applyNumberFormat="1" applyFont="1" applyFill="1" applyBorder="1" applyAlignment="1">
      <alignment horizontal="center" vertical="top"/>
    </xf>
    <xf numFmtId="49" fontId="8" fillId="2" borderId="37" xfId="0" applyNumberFormat="1" applyFont="1" applyFill="1" applyBorder="1" applyAlignment="1">
      <alignment horizontal="center" vertical="top"/>
    </xf>
    <xf numFmtId="49" fontId="8" fillId="2" borderId="49" xfId="0" applyNumberFormat="1" applyFont="1" applyFill="1" applyBorder="1" applyAlignment="1">
      <alignment horizontal="center" vertical="top"/>
    </xf>
    <xf numFmtId="0" fontId="8" fillId="7" borderId="48" xfId="0" applyFont="1" applyFill="1" applyBorder="1" applyAlignment="1">
      <alignment horizontal="center" vertical="top"/>
    </xf>
    <xf numFmtId="0" fontId="8" fillId="7" borderId="49" xfId="0" applyFont="1" applyFill="1" applyBorder="1" applyAlignment="1">
      <alignment horizontal="center" vertical="top"/>
    </xf>
    <xf numFmtId="1" fontId="2" fillId="0" borderId="4" xfId="2" applyNumberFormat="1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40" xfId="9" applyNumberFormat="1" applyFont="1" applyFill="1" applyBorder="1" applyAlignment="1">
      <alignment horizontal="center" vertical="center" wrapText="1"/>
    </xf>
    <xf numFmtId="49" fontId="7" fillId="0" borderId="43" xfId="9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49" fontId="7" fillId="0" borderId="7" xfId="9" applyNumberFormat="1" applyFont="1" applyFill="1" applyBorder="1" applyAlignment="1">
      <alignment horizontal="center" vertical="center" wrapText="1"/>
    </xf>
    <xf numFmtId="49" fontId="7" fillId="0" borderId="15" xfId="9" applyNumberFormat="1" applyFont="1" applyFill="1" applyBorder="1" applyAlignment="1">
      <alignment horizontal="center" vertical="center" wrapText="1"/>
    </xf>
    <xf numFmtId="49" fontId="7" fillId="0" borderId="17" xfId="9" applyNumberFormat="1" applyFont="1" applyFill="1" applyBorder="1" applyAlignment="1">
      <alignment horizontal="center" vertical="center"/>
    </xf>
    <xf numFmtId="49" fontId="7" fillId="0" borderId="16" xfId="9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justify" vertical="center" wrapText="1"/>
    </xf>
    <xf numFmtId="165" fontId="7" fillId="0" borderId="67" xfId="0" applyNumberFormat="1" applyFont="1" applyFill="1" applyBorder="1" applyAlignment="1">
      <alignment horizontal="justify" vertical="center" wrapText="1"/>
    </xf>
    <xf numFmtId="165" fontId="7" fillId="0" borderId="71" xfId="0" applyNumberFormat="1" applyFont="1" applyFill="1" applyBorder="1" applyAlignment="1">
      <alignment horizontal="justify" vertical="center" wrapText="1"/>
    </xf>
    <xf numFmtId="165" fontId="7" fillId="0" borderId="45" xfId="0" applyNumberFormat="1" applyFont="1" applyFill="1" applyBorder="1" applyAlignment="1">
      <alignment horizontal="left" vertical="center" wrapText="1"/>
    </xf>
    <xf numFmtId="165" fontId="7" fillId="0" borderId="43" xfId="0" applyNumberFormat="1" applyFont="1" applyFill="1" applyBorder="1" applyAlignment="1">
      <alignment horizontal="left" vertical="center" wrapText="1"/>
    </xf>
    <xf numFmtId="0" fontId="8" fillId="4" borderId="37" xfId="0" applyFont="1" applyFill="1" applyBorder="1" applyAlignment="1">
      <alignment horizontal="left" vertical="center" wrapText="1"/>
    </xf>
    <xf numFmtId="0" fontId="8" fillId="4" borderId="49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38" xfId="0" applyFont="1" applyFill="1" applyBorder="1" applyAlignment="1">
      <alignment horizontal="left" vertical="center" wrapText="1"/>
    </xf>
    <xf numFmtId="49" fontId="8" fillId="2" borderId="47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49" fontId="7" fillId="0" borderId="44" xfId="9" applyNumberFormat="1" applyFont="1" applyFill="1" applyBorder="1" applyAlignment="1">
      <alignment horizontal="center" vertical="center" wrapText="1"/>
    </xf>
    <xf numFmtId="49" fontId="7" fillId="0" borderId="45" xfId="9" applyNumberFormat="1" applyFont="1" applyFill="1" applyBorder="1" applyAlignment="1">
      <alignment horizontal="center" vertical="center"/>
    </xf>
    <xf numFmtId="165" fontId="7" fillId="0" borderId="62" xfId="0" applyNumberFormat="1" applyFont="1" applyFill="1" applyBorder="1" applyAlignment="1">
      <alignment horizontal="justify" vertical="center" wrapText="1"/>
    </xf>
    <xf numFmtId="165" fontId="7" fillId="0" borderId="45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3" xfId="9" applyNumberFormat="1" applyFont="1" applyFill="1" applyBorder="1" applyAlignment="1">
      <alignment horizontal="center" vertical="center" wrapText="1"/>
    </xf>
    <xf numFmtId="49" fontId="7" fillId="0" borderId="4" xfId="9" applyNumberFormat="1" applyFont="1" applyFill="1" applyBorder="1" applyAlignment="1">
      <alignment horizontal="center" vertical="center"/>
    </xf>
    <xf numFmtId="49" fontId="7" fillId="0" borderId="20" xfId="9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justify" vertical="center" wrapText="1"/>
    </xf>
    <xf numFmtId="0" fontId="1" fillId="0" borderId="61" xfId="0" applyFont="1" applyBorder="1" applyAlignment="1">
      <alignment horizontal="justify" vertical="center" wrapText="1"/>
    </xf>
    <xf numFmtId="165" fontId="7" fillId="0" borderId="52" xfId="0" applyNumberFormat="1" applyFont="1" applyFill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center" vertical="center"/>
    </xf>
    <xf numFmtId="49" fontId="8" fillId="4" borderId="46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justify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left" vertical="center" wrapText="1"/>
    </xf>
    <xf numFmtId="49" fontId="7" fillId="0" borderId="16" xfId="9" applyNumberFormat="1" applyFont="1" applyBorder="1" applyAlignment="1">
      <alignment horizontal="center" vertical="center"/>
    </xf>
    <xf numFmtId="49" fontId="7" fillId="0" borderId="4" xfId="9" applyNumberFormat="1" applyFont="1" applyBorder="1" applyAlignment="1">
      <alignment horizontal="center" vertical="center"/>
    </xf>
    <xf numFmtId="49" fontId="7" fillId="0" borderId="17" xfId="9" applyNumberFormat="1" applyFont="1" applyBorder="1" applyAlignment="1">
      <alignment horizontal="center" vertical="center"/>
    </xf>
    <xf numFmtId="165" fontId="7" fillId="0" borderId="65" xfId="0" applyNumberFormat="1" applyFont="1" applyFill="1" applyBorder="1" applyAlignment="1">
      <alignment horizontal="justify" vertical="center" wrapText="1"/>
    </xf>
    <xf numFmtId="165" fontId="7" fillId="0" borderId="61" xfId="0" applyNumberFormat="1" applyFont="1" applyFill="1" applyBorder="1" applyAlignment="1">
      <alignment horizontal="justify" vertical="center" wrapText="1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left" vertical="center" wrapText="1"/>
    </xf>
    <xf numFmtId="49" fontId="7" fillId="0" borderId="4" xfId="9" applyNumberFormat="1" applyFont="1" applyFill="1" applyBorder="1" applyAlignment="1">
      <alignment horizontal="center" vertical="center" wrapText="1"/>
    </xf>
    <xf numFmtId="49" fontId="7" fillId="0" borderId="17" xfId="9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justify" vertical="center" wrapText="1"/>
    </xf>
    <xf numFmtId="165" fontId="7" fillId="0" borderId="17" xfId="0" applyNumberFormat="1" applyFont="1" applyFill="1" applyBorder="1" applyAlignment="1">
      <alignment horizontal="left" vertical="center" wrapText="1"/>
    </xf>
    <xf numFmtId="49" fontId="7" fillId="5" borderId="4" xfId="9" applyNumberFormat="1" applyFont="1" applyFill="1" applyBorder="1" applyAlignment="1">
      <alignment horizontal="center" vertical="center" wrapText="1"/>
    </xf>
    <xf numFmtId="49" fontId="7" fillId="5" borderId="17" xfId="9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49" fontId="8" fillId="10" borderId="33" xfId="0" applyNumberFormat="1" applyFont="1" applyFill="1" applyBorder="1" applyAlignment="1">
      <alignment horizontal="left" vertical="center" wrapText="1"/>
    </xf>
    <xf numFmtId="49" fontId="8" fillId="10" borderId="46" xfId="0" applyNumberFormat="1" applyFont="1" applyFill="1" applyBorder="1" applyAlignment="1">
      <alignment horizontal="left" vertical="center" wrapText="1"/>
    </xf>
    <xf numFmtId="49" fontId="8" fillId="10" borderId="64" xfId="0" applyNumberFormat="1" applyFont="1" applyFill="1" applyBorder="1" applyAlignment="1">
      <alignment horizontal="left" vertical="center" wrapText="1"/>
    </xf>
    <xf numFmtId="0" fontId="8" fillId="6" borderId="33" xfId="0" applyFont="1" applyFill="1" applyBorder="1" applyAlignment="1">
      <alignment horizontal="left" vertical="center" wrapText="1"/>
    </xf>
    <xf numFmtId="0" fontId="8" fillId="6" borderId="46" xfId="0" applyFont="1" applyFill="1" applyBorder="1" applyAlignment="1">
      <alignment horizontal="left" vertical="center" wrapText="1"/>
    </xf>
    <xf numFmtId="0" fontId="8" fillId="6" borderId="64" xfId="0" applyFont="1" applyFill="1" applyBorder="1" applyAlignment="1">
      <alignment horizontal="left" vertical="center" wrapText="1"/>
    </xf>
    <xf numFmtId="0" fontId="3" fillId="2" borderId="76" xfId="0" applyFont="1" applyFill="1" applyBorder="1" applyAlignment="1">
      <alignment horizontal="left" vertical="center" wrapText="1"/>
    </xf>
    <xf numFmtId="0" fontId="3" fillId="2" borderId="6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46" xfId="0" applyFont="1" applyFill="1" applyBorder="1" applyAlignment="1">
      <alignment horizontal="left" vertical="center" wrapText="1"/>
    </xf>
    <xf numFmtId="0" fontId="8" fillId="4" borderId="64" xfId="0" applyFont="1" applyFill="1" applyBorder="1" applyAlignment="1">
      <alignment horizontal="left" vertical="center" wrapText="1"/>
    </xf>
    <xf numFmtId="0" fontId="1" fillId="0" borderId="14" xfId="0" applyFont="1" applyBorder="1"/>
    <xf numFmtId="0" fontId="1" fillId="0" borderId="15" xfId="0" applyFont="1" applyBorder="1"/>
    <xf numFmtId="49" fontId="8" fillId="0" borderId="40" xfId="0" applyNumberFormat="1" applyFont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49" fontId="7" fillId="0" borderId="43" xfId="9" applyNumberFormat="1" applyFont="1" applyFill="1" applyBorder="1" applyAlignment="1">
      <alignment horizontal="center" vertical="center" wrapText="1"/>
    </xf>
    <xf numFmtId="49" fontId="7" fillId="0" borderId="16" xfId="9" applyNumberFormat="1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 wrapText="1"/>
    </xf>
    <xf numFmtId="165" fontId="7" fillId="0" borderId="43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165" fontId="7" fillId="0" borderId="45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7" fillId="0" borderId="47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7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31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40" xfId="0" applyNumberFormat="1" applyFont="1" applyFill="1" applyBorder="1" applyAlignment="1">
      <alignment horizontal="center" vertical="center"/>
    </xf>
    <xf numFmtId="2" fontId="3" fillId="4" borderId="32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2" fontId="34" fillId="0" borderId="7" xfId="0" applyNumberFormat="1" applyFont="1" applyFill="1" applyBorder="1" applyAlignment="1">
      <alignment horizontal="left" vertical="center" wrapText="1"/>
    </xf>
    <xf numFmtId="2" fontId="34" fillId="0" borderId="40" xfId="0" applyNumberFormat="1" applyFont="1" applyFill="1" applyBorder="1" applyAlignment="1">
      <alignment horizontal="left" vertical="center" wrapText="1"/>
    </xf>
    <xf numFmtId="2" fontId="34" fillId="0" borderId="32" xfId="0" applyNumberFormat="1" applyFont="1" applyFill="1" applyBorder="1" applyAlignment="1">
      <alignment horizontal="left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 wrapText="1"/>
    </xf>
    <xf numFmtId="2" fontId="3" fillId="4" borderId="5" xfId="0" applyNumberFormat="1" applyFont="1" applyFill="1" applyBorder="1" applyAlignment="1">
      <alignment horizontal="center" vertical="center"/>
    </xf>
    <xf numFmtId="2" fontId="3" fillId="4" borderId="27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46" xfId="0" applyNumberFormat="1" applyFont="1" applyFill="1" applyBorder="1" applyAlignment="1">
      <alignment horizontal="center" vertical="center"/>
    </xf>
    <xf numFmtId="2" fontId="3" fillId="7" borderId="33" xfId="0" applyNumberFormat="1" applyFont="1" applyFill="1" applyBorder="1" applyAlignment="1">
      <alignment horizontal="center" vertical="center"/>
    </xf>
    <xf numFmtId="2" fontId="3" fillId="7" borderId="46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right" vertical="center" wrapText="1"/>
    </xf>
    <xf numFmtId="2" fontId="4" fillId="4" borderId="27" xfId="0" applyNumberFormat="1" applyFont="1" applyFill="1" applyBorder="1" applyAlignment="1">
      <alignment horizontal="left" vertical="center" wrapText="1"/>
    </xf>
    <xf numFmtId="2" fontId="4" fillId="4" borderId="46" xfId="0" applyNumberFormat="1" applyFont="1" applyFill="1" applyBorder="1" applyAlignment="1">
      <alignment horizontal="left" vertical="center" wrapText="1"/>
    </xf>
    <xf numFmtId="2" fontId="4" fillId="4" borderId="60" xfId="0" applyNumberFormat="1" applyFont="1" applyFill="1" applyBorder="1" applyAlignment="1">
      <alignment horizontal="left" vertical="center" wrapText="1"/>
    </xf>
    <xf numFmtId="2" fontId="4" fillId="4" borderId="51" xfId="0" applyNumberFormat="1" applyFont="1" applyFill="1" applyBorder="1" applyAlignment="1">
      <alignment horizontal="left" vertical="center" wrapText="1"/>
    </xf>
    <xf numFmtId="2" fontId="3" fillId="2" borderId="8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left" vertical="center" wrapText="1"/>
    </xf>
    <xf numFmtId="2" fontId="33" fillId="0" borderId="7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/>
    </xf>
    <xf numFmtId="2" fontId="22" fillId="0" borderId="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5" borderId="22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2" fontId="22" fillId="0" borderId="41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2" fontId="3" fillId="4" borderId="37" xfId="0" applyNumberFormat="1" applyFont="1" applyFill="1" applyBorder="1" applyAlignment="1">
      <alignment horizontal="center" vertical="center"/>
    </xf>
    <xf numFmtId="2" fontId="3" fillId="4" borderId="49" xfId="0" applyNumberFormat="1" applyFont="1" applyFill="1" applyBorder="1" applyAlignment="1">
      <alignment horizontal="center" vertical="center"/>
    </xf>
    <xf numFmtId="2" fontId="4" fillId="4" borderId="48" xfId="0" applyNumberFormat="1" applyFont="1" applyFill="1" applyBorder="1" applyAlignment="1">
      <alignment horizontal="left" vertical="center" wrapText="1"/>
    </xf>
    <xf numFmtId="2" fontId="4" fillId="4" borderId="49" xfId="0" applyNumberFormat="1" applyFont="1" applyFill="1" applyBorder="1" applyAlignment="1">
      <alignment horizontal="left" vertical="center" wrapText="1"/>
    </xf>
    <xf numFmtId="2" fontId="4" fillId="4" borderId="0" xfId="0" applyNumberFormat="1" applyFont="1" applyFill="1" applyBorder="1" applyAlignment="1">
      <alignment horizontal="left" vertical="center" wrapText="1"/>
    </xf>
    <xf numFmtId="2" fontId="4" fillId="4" borderId="38" xfId="0" applyNumberFormat="1" applyFont="1" applyFill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4" borderId="44" xfId="0" applyNumberFormat="1" applyFont="1" applyFill="1" applyBorder="1" applyAlignment="1">
      <alignment horizontal="center" vertical="center"/>
    </xf>
    <xf numFmtId="2" fontId="15" fillId="4" borderId="40" xfId="0" applyNumberFormat="1" applyFont="1" applyFill="1" applyBorder="1" applyAlignment="1">
      <alignment horizontal="center" vertical="center"/>
    </xf>
    <xf numFmtId="2" fontId="15" fillId="4" borderId="15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33" fillId="5" borderId="15" xfId="0" applyNumberFormat="1" applyFont="1" applyFill="1" applyBorder="1" applyAlignment="1">
      <alignment horizontal="left" vertical="center" wrapText="1"/>
    </xf>
    <xf numFmtId="2" fontId="33" fillId="5" borderId="3" xfId="0" applyNumberFormat="1" applyFont="1" applyFill="1" applyBorder="1" applyAlignment="1">
      <alignment horizontal="left" vertical="center" wrapText="1"/>
    </xf>
    <xf numFmtId="2" fontId="2" fillId="5" borderId="15" xfId="2" applyNumberFormat="1" applyFont="1" applyFill="1" applyBorder="1" applyAlignment="1">
      <alignment horizontal="center" vertical="center" wrapText="1"/>
    </xf>
    <xf numFmtId="2" fontId="2" fillId="5" borderId="3" xfId="2" applyNumberFormat="1" applyFont="1" applyFill="1" applyBorder="1" applyAlignment="1">
      <alignment horizontal="center" vertical="center" wrapText="1"/>
    </xf>
    <xf numFmtId="2" fontId="14" fillId="0" borderId="21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2" fontId="14" fillId="5" borderId="22" xfId="0" applyNumberFormat="1" applyFont="1" applyFill="1" applyBorder="1" applyAlignment="1">
      <alignment horizontal="center" vertical="center"/>
    </xf>
    <xf numFmtId="2" fontId="14" fillId="5" borderId="3" xfId="0" applyNumberFormat="1" applyFont="1" applyFill="1" applyBorder="1" applyAlignment="1">
      <alignment horizontal="center" vertical="center"/>
    </xf>
    <xf numFmtId="2" fontId="25" fillId="5" borderId="23" xfId="0" applyNumberFormat="1" applyFont="1" applyFill="1" applyBorder="1" applyAlignment="1">
      <alignment horizontal="center" vertical="center"/>
    </xf>
    <xf numFmtId="2" fontId="25" fillId="5" borderId="4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33" fillId="0" borderId="7" xfId="0" applyNumberFormat="1" applyFont="1" applyFill="1" applyBorder="1" applyAlignment="1">
      <alignment vertical="center" wrapText="1"/>
    </xf>
    <xf numFmtId="2" fontId="33" fillId="0" borderId="40" xfId="0" applyNumberFormat="1" applyFont="1" applyFill="1" applyBorder="1" applyAlignment="1">
      <alignment vertical="center" wrapText="1"/>
    </xf>
    <xf numFmtId="2" fontId="33" fillId="0" borderId="32" xfId="0" applyNumberFormat="1" applyFont="1" applyFill="1" applyBorder="1" applyAlignment="1">
      <alignment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4" fillId="0" borderId="41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2" fillId="0" borderId="7" xfId="0" applyNumberFormat="1" applyFont="1" applyFill="1" applyBorder="1" applyAlignment="1">
      <alignment vertical="center" wrapText="1"/>
    </xf>
    <xf numFmtId="2" fontId="2" fillId="0" borderId="40" xfId="0" applyNumberFormat="1" applyFont="1" applyFill="1" applyBorder="1" applyAlignment="1">
      <alignment vertical="center" wrapText="1"/>
    </xf>
    <xf numFmtId="2" fontId="2" fillId="0" borderId="32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2" fontId="23" fillId="0" borderId="3" xfId="0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vertical="center" wrapText="1"/>
    </xf>
    <xf numFmtId="2" fontId="22" fillId="0" borderId="0" xfId="0" applyNumberFormat="1" applyFont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33" fillId="0" borderId="4" xfId="0" applyNumberFormat="1" applyFont="1" applyFill="1" applyBorder="1" applyAlignment="1">
      <alignment vertical="center" wrapText="1"/>
    </xf>
    <xf numFmtId="2" fontId="33" fillId="0" borderId="3" xfId="0" applyNumberFormat="1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2" fontId="23" fillId="0" borderId="8" xfId="0" applyNumberFormat="1" applyFont="1" applyFill="1" applyBorder="1" applyAlignment="1">
      <alignment horizontal="center" vertical="center" wrapText="1"/>
    </xf>
    <xf numFmtId="2" fontId="17" fillId="4" borderId="55" xfId="0" applyNumberFormat="1" applyFont="1" applyFill="1" applyBorder="1" applyAlignment="1">
      <alignment horizontal="left" vertical="center" wrapText="1"/>
    </xf>
    <xf numFmtId="2" fontId="17" fillId="4" borderId="0" xfId="0" applyNumberFormat="1" applyFont="1" applyFill="1" applyBorder="1" applyAlignment="1">
      <alignment horizontal="left" vertical="center" wrapText="1"/>
    </xf>
    <xf numFmtId="2" fontId="17" fillId="4" borderId="38" xfId="0" applyNumberFormat="1" applyFont="1" applyFill="1" applyBorder="1" applyAlignment="1">
      <alignment horizontal="left" vertical="center" wrapText="1"/>
    </xf>
    <xf numFmtId="2" fontId="3" fillId="2" borderId="21" xfId="0" applyNumberFormat="1" applyFont="1" applyFill="1" applyBorder="1" applyAlignment="1">
      <alignment horizontal="center" vertical="center"/>
    </xf>
    <xf numFmtId="2" fontId="3" fillId="4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vertical="center" wrapText="1"/>
    </xf>
    <xf numFmtId="2" fontId="14" fillId="0" borderId="0" xfId="0" applyNumberFormat="1" applyFont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40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" fontId="3" fillId="4" borderId="40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2" fontId="33" fillId="0" borderId="15" xfId="0" applyNumberFormat="1" applyFont="1" applyFill="1" applyBorder="1" applyAlignment="1">
      <alignment vertical="center" wrapText="1"/>
    </xf>
    <xf numFmtId="2" fontId="22" fillId="5" borderId="0" xfId="0" applyNumberFormat="1" applyFont="1" applyFill="1" applyBorder="1" applyAlignment="1">
      <alignment horizontal="center" vertical="center"/>
    </xf>
    <xf numFmtId="2" fontId="22" fillId="5" borderId="0" xfId="0" applyNumberFormat="1" applyFont="1" applyFill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2" fontId="33" fillId="0" borderId="16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25" fillId="0" borderId="15" xfId="0" applyNumberFormat="1" applyFont="1" applyFill="1" applyBorder="1" applyAlignment="1">
      <alignment vertical="center" wrapText="1"/>
    </xf>
    <xf numFmtId="2" fontId="25" fillId="0" borderId="3" xfId="0" applyNumberFormat="1" applyFont="1" applyFill="1" applyBorder="1" applyAlignment="1">
      <alignment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 vertical="center"/>
    </xf>
    <xf numFmtId="2" fontId="24" fillId="0" borderId="15" xfId="0" applyNumberFormat="1" applyFont="1" applyBorder="1" applyAlignment="1">
      <alignment horizontal="center" vertical="center"/>
    </xf>
    <xf numFmtId="2" fontId="14" fillId="0" borderId="4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2" fontId="22" fillId="5" borderId="0" xfId="0" applyNumberFormat="1" applyFont="1" applyFill="1" applyBorder="1" applyAlignment="1">
      <alignment horizontal="left" vertical="center"/>
    </xf>
    <xf numFmtId="2" fontId="22" fillId="5" borderId="0" xfId="0" applyNumberFormat="1" applyFont="1" applyFill="1" applyAlignment="1">
      <alignment horizontal="left" vertical="center"/>
    </xf>
    <xf numFmtId="2" fontId="23" fillId="0" borderId="4" xfId="0" applyNumberFormat="1" applyFont="1" applyFill="1" applyBorder="1" applyAlignment="1">
      <alignment vertical="center" wrapText="1"/>
    </xf>
    <xf numFmtId="2" fontId="3" fillId="2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 wrapText="1"/>
    </xf>
    <xf numFmtId="2" fontId="2" fillId="5" borderId="40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2" fontId="33" fillId="0" borderId="17" xfId="0" applyNumberFormat="1" applyFont="1" applyFill="1" applyBorder="1" applyAlignment="1">
      <alignment vertical="center" wrapText="1"/>
    </xf>
    <xf numFmtId="2" fontId="33" fillId="0" borderId="43" xfId="0" applyNumberFormat="1" applyFont="1" applyFill="1" applyBorder="1" applyAlignment="1">
      <alignment vertical="center" wrapText="1"/>
    </xf>
    <xf numFmtId="2" fontId="3" fillId="4" borderId="46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5" borderId="15" xfId="0" applyNumberFormat="1" applyFont="1" applyFill="1" applyBorder="1" applyAlignment="1">
      <alignment horizontal="center" vertical="center" wrapText="1"/>
    </xf>
    <xf numFmtId="2" fontId="25" fillId="5" borderId="41" xfId="0" applyNumberFormat="1" applyFont="1" applyFill="1" applyBorder="1" applyAlignment="1">
      <alignment horizontal="center" vertical="center"/>
    </xf>
    <xf numFmtId="2" fontId="25" fillId="5" borderId="0" xfId="0" applyNumberFormat="1" applyFont="1" applyFill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2" fontId="33" fillId="0" borderId="40" xfId="0" applyNumberFormat="1" applyFont="1" applyFill="1" applyBorder="1" applyAlignment="1">
      <alignment horizontal="left" vertical="center" wrapText="1"/>
    </xf>
    <xf numFmtId="2" fontId="33" fillId="0" borderId="15" xfId="0" applyNumberFormat="1" applyFont="1" applyFill="1" applyBorder="1" applyAlignment="1">
      <alignment horizontal="left" vertical="center" wrapText="1"/>
    </xf>
    <xf numFmtId="2" fontId="3" fillId="0" borderId="32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17" fillId="4" borderId="32" xfId="0" applyNumberFormat="1" applyFont="1" applyFill="1" applyBorder="1" applyAlignment="1">
      <alignment horizontal="left" vertical="center" wrapText="1"/>
    </xf>
    <xf numFmtId="2" fontId="17" fillId="4" borderId="40" xfId="0" applyNumberFormat="1" applyFont="1" applyFill="1" applyBorder="1" applyAlignment="1">
      <alignment horizontal="left" vertical="center" wrapText="1"/>
    </xf>
    <xf numFmtId="2" fontId="17" fillId="4" borderId="52" xfId="0" applyNumberFormat="1" applyFont="1" applyFill="1" applyBorder="1" applyAlignment="1">
      <alignment horizontal="left" vertical="center" wrapText="1"/>
    </xf>
    <xf numFmtId="3" fontId="2" fillId="0" borderId="15" xfId="3" applyNumberFormat="1" applyFont="1" applyBorder="1" applyAlignment="1">
      <alignment horizontal="center" vertical="center" wrapText="1"/>
    </xf>
    <xf numFmtId="3" fontId="2" fillId="0" borderId="3" xfId="3" applyNumberFormat="1" applyFont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2" fontId="23" fillId="0" borderId="19" xfId="0" applyNumberFormat="1" applyFont="1" applyFill="1" applyBorder="1" applyAlignment="1">
      <alignment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19" xfId="3" applyNumberFormat="1" applyFont="1" applyFill="1" applyBorder="1" applyAlignment="1">
      <alignment horizontal="center" vertical="center" wrapText="1"/>
    </xf>
    <xf numFmtId="3" fontId="2" fillId="0" borderId="19" xfId="3" applyNumberFormat="1" applyFont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3" fillId="5" borderId="23" xfId="0" applyNumberFormat="1" applyFont="1" applyFill="1" applyBorder="1" applyAlignment="1">
      <alignment vertical="center" wrapText="1"/>
    </xf>
    <xf numFmtId="2" fontId="23" fillId="5" borderId="4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13" xfId="0" applyNumberFormat="1" applyFont="1" applyFill="1" applyBorder="1" applyAlignment="1">
      <alignment horizontal="left" vertical="center" wrapText="1"/>
    </xf>
    <xf numFmtId="2" fontId="4" fillId="4" borderId="44" xfId="0" applyNumberFormat="1" applyFont="1" applyFill="1" applyBorder="1" applyAlignment="1">
      <alignment horizontal="left" vertical="center" wrapText="1"/>
    </xf>
    <xf numFmtId="2" fontId="4" fillId="4" borderId="45" xfId="0" applyNumberFormat="1" applyFont="1" applyFill="1" applyBorder="1" applyAlignment="1">
      <alignment horizontal="left" vertical="center" wrapText="1"/>
    </xf>
    <xf numFmtId="2" fontId="33" fillId="5" borderId="22" xfId="0" applyNumberFormat="1" applyFont="1" applyFill="1" applyBorder="1" applyAlignment="1">
      <alignment vertical="center" wrapText="1"/>
    </xf>
    <xf numFmtId="2" fontId="33" fillId="5" borderId="3" xfId="0" applyNumberFormat="1" applyFont="1" applyFill="1" applyBorder="1" applyAlignment="1">
      <alignment vertical="center" wrapText="1"/>
    </xf>
    <xf numFmtId="2" fontId="2" fillId="0" borderId="22" xfId="3" applyNumberFormat="1" applyFont="1" applyFill="1" applyBorder="1" applyAlignment="1">
      <alignment horizontal="center" vertical="center" wrapText="1"/>
    </xf>
    <xf numFmtId="3" fontId="2" fillId="0" borderId="22" xfId="3" applyNumberFormat="1" applyFont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left" vertical="center" wrapText="1"/>
    </xf>
    <xf numFmtId="2" fontId="3" fillId="10" borderId="5" xfId="0" applyNumberFormat="1" applyFont="1" applyFill="1" applyBorder="1" applyAlignment="1">
      <alignment horizontal="left" vertical="center" wrapText="1"/>
    </xf>
    <xf numFmtId="2" fontId="3" fillId="10" borderId="13" xfId="0" applyNumberFormat="1" applyFont="1" applyFill="1" applyBorder="1" applyAlignment="1">
      <alignment horizontal="left" vertical="center" wrapText="1"/>
    </xf>
    <xf numFmtId="2" fontId="3" fillId="6" borderId="1" xfId="0" applyNumberFormat="1" applyFont="1" applyFill="1" applyBorder="1" applyAlignment="1">
      <alignment horizontal="left" vertical="center" wrapText="1"/>
    </xf>
    <xf numFmtId="2" fontId="3" fillId="6" borderId="5" xfId="0" applyNumberFormat="1" applyFont="1" applyFill="1" applyBorder="1" applyAlignment="1">
      <alignment horizontal="left" vertical="center" wrapText="1"/>
    </xf>
    <xf numFmtId="2" fontId="3" fillId="6" borderId="13" xfId="0" applyNumberFormat="1" applyFont="1" applyFill="1" applyBorder="1" applyAlignment="1">
      <alignment horizontal="left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6" xfId="0" applyNumberFormat="1" applyFont="1" applyBorder="1" applyAlignment="1">
      <alignment horizontal="center" vertical="center" textRotation="90" wrapText="1"/>
    </xf>
    <xf numFmtId="2" fontId="7" fillId="0" borderId="26" xfId="0" applyNumberFormat="1" applyFont="1" applyBorder="1" applyAlignment="1">
      <alignment horizontal="center" vertical="center" textRotation="90" wrapText="1"/>
    </xf>
    <xf numFmtId="2" fontId="7" fillId="0" borderId="24" xfId="0" applyNumberFormat="1" applyFont="1" applyBorder="1" applyAlignment="1">
      <alignment horizontal="center" vertical="center" textRotation="90" wrapText="1"/>
    </xf>
    <xf numFmtId="2" fontId="7" fillId="0" borderId="25" xfId="0" applyNumberFormat="1" applyFont="1" applyBorder="1" applyAlignment="1">
      <alignment horizontal="center" vertical="center" textRotation="90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2" fontId="2" fillId="0" borderId="9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21" xfId="0" applyNumberFormat="1" applyFont="1" applyBorder="1" applyAlignment="1">
      <alignment horizontal="center" vertical="center" textRotation="90" wrapText="1"/>
    </xf>
    <xf numFmtId="2" fontId="2" fillId="0" borderId="2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22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11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top"/>
    </xf>
    <xf numFmtId="2" fontId="6" fillId="0" borderId="0" xfId="4" applyNumberFormat="1" applyFont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27" xfId="0" applyNumberFormat="1" applyFont="1" applyFill="1" applyBorder="1" applyAlignment="1">
      <alignment horizontal="left" vertical="center"/>
    </xf>
    <xf numFmtId="0" fontId="3" fillId="7" borderId="31" xfId="0" applyFont="1" applyFill="1" applyBorder="1" applyAlignment="1">
      <alignment horizontal="left" vertical="center"/>
    </xf>
    <xf numFmtId="0" fontId="3" fillId="7" borderId="32" xfId="0" applyFont="1" applyFill="1" applyBorder="1" applyAlignment="1">
      <alignment horizontal="left" vertical="center"/>
    </xf>
    <xf numFmtId="0" fontId="3" fillId="7" borderId="37" xfId="0" applyFont="1" applyFill="1" applyBorder="1" applyAlignment="1">
      <alignment horizontal="left" vertical="center"/>
    </xf>
    <xf numFmtId="1" fontId="2" fillId="0" borderId="24" xfId="0" applyNumberFormat="1" applyFont="1" applyFill="1" applyBorder="1" applyAlignment="1">
      <alignment horizontal="left" vertical="center" wrapText="1"/>
    </xf>
    <xf numFmtId="1" fontId="2" fillId="0" borderId="25" xfId="0" applyNumberFormat="1" applyFont="1" applyFill="1" applyBorder="1" applyAlignment="1">
      <alignment horizontal="left" vertical="center" wrapText="1"/>
    </xf>
    <xf numFmtId="49" fontId="3" fillId="12" borderId="7" xfId="0" applyNumberFormat="1" applyFont="1" applyFill="1" applyBorder="1" applyAlignment="1">
      <alignment horizontal="center" vertical="center"/>
    </xf>
    <xf numFmtId="49" fontId="3" fillId="12" borderId="40" xfId="0" applyNumberFormat="1" applyFont="1" applyFill="1" applyBorder="1" applyAlignment="1">
      <alignment horizontal="center" vertical="center"/>
    </xf>
    <xf numFmtId="49" fontId="2" fillId="0" borderId="7" xfId="8" applyNumberFormat="1" applyFont="1" applyBorder="1" applyAlignment="1">
      <alignment horizontal="center" vertical="center" wrapText="1"/>
    </xf>
    <xf numFmtId="49" fontId="2" fillId="0" borderId="40" xfId="8" applyNumberFormat="1" applyFont="1" applyBorder="1" applyAlignment="1">
      <alignment horizontal="center" vertical="center" wrapText="1"/>
    </xf>
    <xf numFmtId="49" fontId="2" fillId="0" borderId="7" xfId="8" applyNumberFormat="1" applyFont="1" applyFill="1" applyBorder="1" applyAlignment="1">
      <alignment horizontal="center" vertical="center"/>
    </xf>
    <xf numFmtId="49" fontId="2" fillId="0" borderId="40" xfId="8" applyNumberFormat="1" applyFont="1" applyFill="1" applyBorder="1" applyAlignment="1">
      <alignment horizontal="center" vertical="center"/>
    </xf>
    <xf numFmtId="1" fontId="2" fillId="0" borderId="71" xfId="0" applyNumberFormat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12" borderId="8" xfId="0" applyNumberFormat="1" applyFont="1" applyFill="1" applyBorder="1" applyAlignment="1">
      <alignment horizontal="center" vertical="center"/>
    </xf>
    <xf numFmtId="49" fontId="2" fillId="0" borderId="3" xfId="8" applyNumberFormat="1" applyFont="1" applyBorder="1" applyAlignment="1">
      <alignment horizontal="center" vertical="center" wrapText="1"/>
    </xf>
    <xf numFmtId="49" fontId="2" fillId="0" borderId="3" xfId="8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left" vertical="center"/>
    </xf>
    <xf numFmtId="49" fontId="3" fillId="4" borderId="27" xfId="0" applyNumberFormat="1" applyFont="1" applyFill="1" applyBorder="1" applyAlignment="1">
      <alignment horizontal="left" vertical="center"/>
    </xf>
    <xf numFmtId="1" fontId="2" fillId="0" borderId="24" xfId="0" applyNumberFormat="1" applyFont="1" applyFill="1" applyBorder="1" applyAlignment="1">
      <alignment horizontal="justify" vertical="center" wrapText="1"/>
    </xf>
    <xf numFmtId="165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5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64" xfId="0" applyFont="1" applyFill="1" applyBorder="1" applyAlignment="1">
      <alignment horizontal="left" vertical="center" wrapText="1"/>
    </xf>
    <xf numFmtId="49" fontId="3" fillId="12" borderId="14" xfId="0" applyNumberFormat="1" applyFont="1" applyFill="1" applyBorder="1" applyAlignment="1">
      <alignment horizontal="center" vertical="center"/>
    </xf>
    <xf numFmtId="49" fontId="2" fillId="0" borderId="15" xfId="8" applyNumberFormat="1" applyFont="1" applyFill="1" applyBorder="1" applyAlignment="1">
      <alignment horizontal="center" vertical="center" wrapText="1"/>
    </xf>
    <xf numFmtId="49" fontId="2" fillId="0" borderId="3" xfId="8" applyNumberFormat="1" applyFont="1" applyFill="1" applyBorder="1" applyAlignment="1">
      <alignment horizontal="center" vertical="center" wrapText="1"/>
    </xf>
    <xf numFmtId="49" fontId="2" fillId="0" borderId="15" xfId="8" applyNumberFormat="1" applyFont="1" applyFill="1" applyBorder="1" applyAlignment="1">
      <alignment horizontal="center" vertical="center"/>
    </xf>
    <xf numFmtId="1" fontId="2" fillId="0" borderId="62" xfId="0" applyNumberFormat="1" applyFont="1" applyFill="1" applyBorder="1" applyAlignment="1">
      <alignment horizontal="left" vertical="center" wrapText="1"/>
    </xf>
    <xf numFmtId="1" fontId="2" fillId="0" borderId="67" xfId="0" applyNumberFormat="1" applyFont="1" applyFill="1" applyBorder="1" applyAlignment="1">
      <alignment horizontal="left" vertical="center" wrapText="1"/>
    </xf>
    <xf numFmtId="165" fontId="2" fillId="0" borderId="21" xfId="0" applyNumberFormat="1" applyFont="1" applyBorder="1" applyAlignment="1">
      <alignment horizontal="center" vertical="center"/>
    </xf>
    <xf numFmtId="165" fontId="2" fillId="0" borderId="76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24" fillId="2" borderId="8" xfId="0" applyNumberFormat="1" applyFont="1" applyFill="1" applyBorder="1" applyAlignment="1">
      <alignment horizontal="center" vertical="center"/>
    </xf>
    <xf numFmtId="49" fontId="24" fillId="2" borderId="9" xfId="0" applyNumberFormat="1" applyFont="1" applyFill="1" applyBorder="1" applyAlignment="1">
      <alignment horizontal="center" vertical="center"/>
    </xf>
    <xf numFmtId="49" fontId="24" fillId="4" borderId="3" xfId="0" applyNumberFormat="1" applyFont="1" applyFill="1" applyBorder="1" applyAlignment="1">
      <alignment horizontal="center" vertical="center"/>
    </xf>
    <xf numFmtId="49" fontId="24" fillId="4" borderId="7" xfId="0" applyNumberFormat="1" applyFont="1" applyFill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49" fontId="23" fillId="0" borderId="3" xfId="8" applyNumberFormat="1" applyFont="1" applyFill="1" applyBorder="1" applyAlignment="1">
      <alignment horizontal="center" vertical="center" wrapText="1"/>
    </xf>
    <xf numFmtId="49" fontId="23" fillId="0" borderId="7" xfId="8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left" vertical="center" wrapText="1"/>
    </xf>
    <xf numFmtId="1" fontId="23" fillId="0" borderId="61" xfId="0" applyNumberFormat="1" applyFont="1" applyFill="1" applyBorder="1" applyAlignment="1">
      <alignment horizontal="left" vertical="center" wrapText="1"/>
    </xf>
    <xf numFmtId="165" fontId="23" fillId="0" borderId="8" xfId="0" applyNumberFormat="1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center" vertical="center"/>
    </xf>
    <xf numFmtId="165" fontId="23" fillId="0" borderId="6" xfId="0" applyNumberFormat="1" applyFont="1" applyFill="1" applyBorder="1" applyAlignment="1">
      <alignment horizontal="center" vertical="center"/>
    </xf>
    <xf numFmtId="165" fontId="23" fillId="0" borderId="55" xfId="0" applyNumberFormat="1" applyFont="1" applyFill="1" applyBorder="1" applyAlignment="1">
      <alignment horizontal="center" vertical="center"/>
    </xf>
    <xf numFmtId="165" fontId="23" fillId="0" borderId="1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49" fontId="3" fillId="16" borderId="3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8" applyNumberFormat="1" applyFont="1" applyBorder="1" applyAlignment="1">
      <alignment horizontal="center" vertical="center" wrapText="1"/>
    </xf>
    <xf numFmtId="49" fontId="2" fillId="0" borderId="7" xfId="8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5" fontId="2" fillId="0" borderId="55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left" vertical="center" wrapText="1"/>
    </xf>
    <xf numFmtId="0" fontId="4" fillId="4" borderId="49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165" fontId="2" fillId="0" borderId="71" xfId="0" applyNumberFormat="1" applyFont="1" applyBorder="1" applyAlignment="1">
      <alignment horizontal="center" vertical="center" wrapText="1"/>
    </xf>
    <xf numFmtId="165" fontId="2" fillId="0" borderId="67" xfId="0" applyNumberFormat="1" applyFont="1" applyBorder="1" applyAlignment="1">
      <alignment horizontal="center" vertical="center" wrapText="1"/>
    </xf>
    <xf numFmtId="165" fontId="2" fillId="15" borderId="8" xfId="0" applyNumberFormat="1" applyFont="1" applyFill="1" applyBorder="1" applyAlignment="1">
      <alignment horizontal="center" vertical="center"/>
    </xf>
    <xf numFmtId="165" fontId="2" fillId="5" borderId="6" xfId="0" applyNumberFormat="1" applyFont="1" applyFill="1" applyBorder="1" applyAlignment="1">
      <alignment horizontal="center" vertical="center"/>
    </xf>
    <xf numFmtId="165" fontId="2" fillId="5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4" fillId="0" borderId="40" xfId="0" applyNumberFormat="1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left" vertical="center" wrapText="1"/>
    </xf>
    <xf numFmtId="167" fontId="23" fillId="0" borderId="7" xfId="0" applyNumberFormat="1" applyFont="1" applyFill="1" applyBorder="1" applyAlignment="1">
      <alignment horizontal="center" vertical="center" wrapText="1"/>
    </xf>
    <xf numFmtId="167" fontId="23" fillId="0" borderId="40" xfId="0" applyNumberFormat="1" applyFont="1" applyFill="1" applyBorder="1" applyAlignment="1">
      <alignment horizontal="center" vertical="center" wrapText="1"/>
    </xf>
    <xf numFmtId="49" fontId="23" fillId="0" borderId="7" xfId="2" applyNumberFormat="1" applyFont="1" applyFill="1" applyBorder="1" applyAlignment="1">
      <alignment horizontal="center" vertical="center" wrapText="1"/>
    </xf>
    <xf numFmtId="49" fontId="23" fillId="0" borderId="40" xfId="2" applyNumberFormat="1" applyFont="1" applyFill="1" applyBorder="1" applyAlignment="1">
      <alignment horizontal="center" vertical="center" wrapText="1"/>
    </xf>
    <xf numFmtId="165" fontId="23" fillId="0" borderId="3" xfId="6" applyNumberFormat="1" applyFont="1" applyFill="1" applyBorder="1" applyAlignment="1">
      <alignment horizontal="center" vertical="center"/>
    </xf>
    <xf numFmtId="165" fontId="23" fillId="0" borderId="4" xfId="6" applyNumberFormat="1" applyFont="1" applyFill="1" applyBorder="1" applyAlignment="1">
      <alignment horizontal="center" vertical="center"/>
    </xf>
    <xf numFmtId="165" fontId="23" fillId="0" borderId="24" xfId="6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61" xfId="0" applyNumberFormat="1" applyFont="1" applyFill="1" applyBorder="1" applyAlignment="1">
      <alignment horizontal="left" vertical="center" wrapText="1"/>
    </xf>
    <xf numFmtId="165" fontId="23" fillId="0" borderId="8" xfId="6" applyNumberFormat="1" applyFont="1" applyFill="1" applyBorder="1" applyAlignment="1">
      <alignment horizontal="center" vertical="center"/>
    </xf>
    <xf numFmtId="49" fontId="24" fillId="12" borderId="8" xfId="0" applyNumberFormat="1" applyFont="1" applyFill="1" applyBorder="1" applyAlignment="1">
      <alignment horizontal="center" vertical="center"/>
    </xf>
    <xf numFmtId="49" fontId="24" fillId="12" borderId="9" xfId="0" applyNumberFormat="1" applyFont="1" applyFill="1" applyBorder="1" applyAlignment="1">
      <alignment horizontal="center" vertical="center"/>
    </xf>
    <xf numFmtId="49" fontId="24" fillId="16" borderId="3" xfId="0" applyNumberFormat="1" applyFont="1" applyFill="1" applyBorder="1" applyAlignment="1">
      <alignment horizontal="center" vertical="center"/>
    </xf>
    <xf numFmtId="49" fontId="24" fillId="16" borderId="7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 wrapText="1"/>
    </xf>
    <xf numFmtId="167" fontId="23" fillId="0" borderId="3" xfId="0" applyNumberFormat="1" applyFont="1" applyFill="1" applyBorder="1" applyAlignment="1">
      <alignment horizontal="center" vertical="center" wrapText="1"/>
    </xf>
    <xf numFmtId="49" fontId="23" fillId="0" borderId="3" xfId="2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67" fontId="2" fillId="0" borderId="7" xfId="0" applyNumberFormat="1" applyFont="1" applyFill="1" applyBorder="1" applyAlignment="1">
      <alignment horizontal="left" vertical="center" wrapText="1"/>
    </xf>
    <xf numFmtId="167" fontId="2" fillId="0" borderId="40" xfId="0" applyNumberFormat="1" applyFont="1" applyFill="1" applyBorder="1" applyAlignment="1">
      <alignment horizontal="left" vertical="center" wrapText="1"/>
    </xf>
    <xf numFmtId="167" fontId="2" fillId="0" borderId="15" xfId="0" applyNumberFormat="1" applyFont="1" applyFill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1" fontId="23" fillId="0" borderId="3" xfId="2" applyNumberFormat="1" applyFont="1" applyFill="1" applyBorder="1" applyAlignment="1">
      <alignment horizontal="center" vertical="center" wrapText="1"/>
    </xf>
    <xf numFmtId="167" fontId="23" fillId="0" borderId="3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left" vertical="center" wrapText="1"/>
    </xf>
    <xf numFmtId="165" fontId="2" fillId="0" borderId="22" xfId="2" applyNumberFormat="1" applyFont="1" applyBorder="1" applyAlignment="1">
      <alignment horizontal="center" vertical="center" wrapText="1"/>
    </xf>
    <xf numFmtId="1" fontId="2" fillId="0" borderId="22" xfId="2" applyNumberFormat="1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left" vertical="center" wrapText="1"/>
    </xf>
    <xf numFmtId="49" fontId="3" fillId="12" borderId="3" xfId="0" applyNumberFormat="1" applyFont="1" applyFill="1" applyBorder="1" applyAlignment="1">
      <alignment horizontal="center" vertical="center"/>
    </xf>
    <xf numFmtId="49" fontId="3" fillId="12" borderId="15" xfId="0" applyNumberFormat="1" applyFont="1" applyFill="1" applyBorder="1" applyAlignment="1">
      <alignment horizontal="center" vertical="center"/>
    </xf>
    <xf numFmtId="49" fontId="2" fillId="0" borderId="40" xfId="8" applyNumberFormat="1" applyFont="1" applyFill="1" applyBorder="1" applyAlignment="1">
      <alignment horizontal="center" vertical="center" wrapText="1"/>
    </xf>
    <xf numFmtId="1" fontId="2" fillId="0" borderId="40" xfId="2" applyNumberFormat="1" applyFont="1" applyFill="1" applyBorder="1" applyAlignment="1">
      <alignment horizontal="center" vertical="center" wrapText="1"/>
    </xf>
    <xf numFmtId="1" fontId="2" fillId="0" borderId="15" xfId="2" applyNumberFormat="1" applyFont="1" applyFill="1" applyBorder="1" applyAlignment="1">
      <alignment horizontal="center" vertical="center" wrapText="1"/>
    </xf>
    <xf numFmtId="165" fontId="2" fillId="0" borderId="3" xfId="8" applyNumberFormat="1" applyFont="1" applyFill="1" applyBorder="1" applyAlignment="1">
      <alignment horizontal="center" vertical="center"/>
    </xf>
    <xf numFmtId="165" fontId="2" fillId="0" borderId="2" xfId="8" applyNumberFormat="1" applyFont="1" applyFill="1" applyBorder="1" applyAlignment="1">
      <alignment horizontal="center" vertical="center"/>
    </xf>
    <xf numFmtId="165" fontId="2" fillId="0" borderId="24" xfId="8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8" xfId="8" applyNumberFormat="1" applyFont="1" applyFill="1" applyBorder="1" applyAlignment="1">
      <alignment horizontal="center" vertical="center"/>
    </xf>
    <xf numFmtId="165" fontId="2" fillId="0" borderId="4" xfId="8" applyNumberFormat="1" applyFont="1" applyFill="1" applyBorder="1" applyAlignment="1">
      <alignment horizontal="center" vertical="center"/>
    </xf>
    <xf numFmtId="1" fontId="2" fillId="0" borderId="65" xfId="0" applyNumberFormat="1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49" fontId="3" fillId="10" borderId="33" xfId="0" applyNumberFormat="1" applyFont="1" applyFill="1" applyBorder="1" applyAlignment="1">
      <alignment horizontal="left" vertical="center" wrapText="1"/>
    </xf>
    <xf numFmtId="49" fontId="3" fillId="10" borderId="46" xfId="0" applyNumberFormat="1" applyFont="1" applyFill="1" applyBorder="1" applyAlignment="1">
      <alignment horizontal="left" vertical="center" wrapText="1"/>
    </xf>
    <xf numFmtId="49" fontId="3" fillId="10" borderId="64" xfId="0" applyNumberFormat="1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1" fontId="2" fillId="0" borderId="26" xfId="0" applyNumberFormat="1" applyFont="1" applyFill="1" applyBorder="1" applyAlignment="1">
      <alignment horizontal="left" vertical="center" wrapText="1"/>
    </xf>
    <xf numFmtId="1" fontId="2" fillId="0" borderId="54" xfId="0" applyNumberFormat="1" applyFont="1" applyFill="1" applyBorder="1" applyAlignment="1">
      <alignment horizontal="left" vertical="center" wrapText="1"/>
    </xf>
    <xf numFmtId="0" fontId="2" fillId="0" borderId="75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textRotation="90" wrapText="1"/>
    </xf>
    <xf numFmtId="2" fontId="2" fillId="0" borderId="19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165" fontId="2" fillId="0" borderId="17" xfId="0" applyNumberFormat="1" applyFont="1" applyFill="1" applyBorder="1" applyAlignment="1">
      <alignment horizontal="left" vertical="center" wrapText="1"/>
    </xf>
    <xf numFmtId="165" fontId="2" fillId="0" borderId="43" xfId="0" applyNumberFormat="1" applyFont="1" applyFill="1" applyBorder="1" applyAlignment="1">
      <alignment horizontal="left" vertical="center" wrapText="1"/>
    </xf>
    <xf numFmtId="0" fontId="3" fillId="12" borderId="7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3" fillId="16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7" xfId="10" applyFont="1" applyBorder="1" applyAlignment="1">
      <alignment horizontal="center" vertical="center"/>
    </xf>
    <xf numFmtId="0" fontId="2" fillId="0" borderId="32" xfId="10" applyFont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15" borderId="32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165" fontId="2" fillId="0" borderId="65" xfId="0" applyNumberFormat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Fill="1" applyBorder="1"/>
    <xf numFmtId="49" fontId="2" fillId="0" borderId="3" xfId="10" applyNumberFormat="1" applyFont="1" applyFill="1" applyBorder="1" applyAlignment="1">
      <alignment horizontal="center" vertical="center" wrapText="1"/>
    </xf>
    <xf numFmtId="0" fontId="1" fillId="0" borderId="7" xfId="10" applyBorder="1"/>
    <xf numFmtId="0" fontId="2" fillId="0" borderId="3" xfId="10" applyFont="1" applyFill="1" applyBorder="1" applyAlignment="1">
      <alignment horizontal="center" vertical="center" wrapText="1"/>
    </xf>
    <xf numFmtId="0" fontId="1" fillId="0" borderId="7" xfId="10" applyBorder="1" applyAlignment="1">
      <alignment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2" fillId="0" borderId="61" xfId="0" applyNumberFormat="1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15" xfId="10" applyNumberFormat="1" applyFont="1" applyFill="1" applyBorder="1" applyAlignment="1">
      <alignment horizontal="center" vertical="center" wrapText="1"/>
    </xf>
    <xf numFmtId="0" fontId="1" fillId="0" borderId="3" xfId="10" applyBorder="1"/>
    <xf numFmtId="0" fontId="2" fillId="0" borderId="15" xfId="1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4" borderId="32" xfId="0" applyFont="1" applyFill="1" applyBorder="1" applyAlignment="1">
      <alignment horizontal="left" vertical="center"/>
    </xf>
    <xf numFmtId="0" fontId="16" fillId="4" borderId="32" xfId="0" applyFont="1" applyFill="1" applyBorder="1" applyAlignment="1">
      <alignment horizontal="left" vertical="center"/>
    </xf>
    <xf numFmtId="0" fontId="16" fillId="4" borderId="40" xfId="0" applyFont="1" applyFill="1" applyBorder="1" applyAlignment="1">
      <alignment horizontal="left" vertical="center"/>
    </xf>
    <xf numFmtId="0" fontId="16" fillId="4" borderId="43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0" fillId="0" borderId="3" xfId="0" applyBorder="1"/>
    <xf numFmtId="0" fontId="3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0" fillId="0" borderId="3" xfId="0" applyFill="1" applyBorder="1"/>
    <xf numFmtId="49" fontId="2" fillId="0" borderId="22" xfId="10" applyNumberFormat="1" applyFont="1" applyFill="1" applyBorder="1" applyAlignment="1">
      <alignment horizontal="center" vertical="center" wrapText="1"/>
    </xf>
    <xf numFmtId="0" fontId="2" fillId="0" borderId="22" xfId="10" applyFont="1" applyFill="1" applyBorder="1" applyAlignment="1">
      <alignment horizontal="center" vertical="center" wrapText="1"/>
    </xf>
    <xf numFmtId="0" fontId="1" fillId="0" borderId="3" xfId="10" applyBorder="1" applyAlignment="1">
      <alignment wrapText="1"/>
    </xf>
    <xf numFmtId="49" fontId="2" fillId="0" borderId="63" xfId="0" applyNumberFormat="1" applyFont="1" applyFill="1" applyBorder="1" applyAlignment="1">
      <alignment horizontal="justify" vertical="center" wrapText="1"/>
    </xf>
    <xf numFmtId="49" fontId="2" fillId="0" borderId="69" xfId="0" applyNumberFormat="1" applyFont="1" applyFill="1" applyBorder="1" applyAlignment="1">
      <alignment horizontal="justify" vertical="center" wrapText="1"/>
    </xf>
    <xf numFmtId="0" fontId="1" fillId="0" borderId="7" xfId="0" applyFont="1" applyBorder="1"/>
    <xf numFmtId="0" fontId="1" fillId="0" borderId="7" xfId="0" applyFont="1" applyFill="1" applyBorder="1"/>
    <xf numFmtId="0" fontId="1" fillId="0" borderId="7" xfId="10" applyFont="1" applyFill="1" applyBorder="1"/>
    <xf numFmtId="0" fontId="2" fillId="0" borderId="3" xfId="10" applyFont="1" applyFill="1" applyBorder="1" applyAlignment="1">
      <alignment horizontal="center" vertical="center"/>
    </xf>
    <xf numFmtId="0" fontId="1" fillId="0" borderId="7" xfId="10" applyFont="1" applyBorder="1"/>
    <xf numFmtId="2" fontId="2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/>
    <xf numFmtId="49" fontId="2" fillId="0" borderId="7" xfId="10" applyNumberFormat="1" applyFont="1" applyFill="1" applyBorder="1" applyAlignment="1">
      <alignment horizontal="center" vertical="center" wrapText="1"/>
    </xf>
    <xf numFmtId="0" fontId="2" fillId="0" borderId="7" xfId="10" applyFont="1" applyFill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/>
    <xf numFmtId="49" fontId="1" fillId="0" borderId="3" xfId="0" applyNumberFormat="1" applyFont="1" applyBorder="1"/>
    <xf numFmtId="0" fontId="1" fillId="0" borderId="3" xfId="0" applyFont="1" applyFill="1" applyBorder="1"/>
    <xf numFmtId="167" fontId="2" fillId="0" borderId="1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0" fontId="2" fillId="0" borderId="15" xfId="10" applyFont="1" applyFill="1" applyBorder="1" applyAlignment="1">
      <alignment horizontal="center" vertical="center"/>
    </xf>
    <xf numFmtId="0" fontId="1" fillId="0" borderId="3" xfId="10" applyFont="1" applyBorder="1"/>
    <xf numFmtId="165" fontId="2" fillId="0" borderId="45" xfId="0" applyNumberFormat="1" applyFont="1" applyFill="1" applyBorder="1" applyAlignment="1">
      <alignment horizontal="left" vertical="center" wrapText="1"/>
    </xf>
    <xf numFmtId="167" fontId="2" fillId="0" borderId="22" xfId="0" applyNumberFormat="1" applyFont="1" applyFill="1" applyBorder="1" applyAlignment="1">
      <alignment horizontal="center" vertical="center" wrapText="1"/>
    </xf>
    <xf numFmtId="0" fontId="2" fillId="0" borderId="22" xfId="1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165" fontId="2" fillId="0" borderId="52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16" fillId="4" borderId="44" xfId="0" applyFont="1" applyFill="1" applyBorder="1" applyAlignment="1">
      <alignment horizontal="left" vertical="center"/>
    </xf>
    <xf numFmtId="0" fontId="16" fillId="4" borderId="45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2" fillId="0" borderId="40" xfId="10" applyNumberFormat="1" applyFont="1" applyFill="1" applyBorder="1" applyAlignment="1">
      <alignment horizontal="center" vertical="center" wrapText="1"/>
    </xf>
    <xf numFmtId="0" fontId="2" fillId="0" borderId="40" xfId="1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60" xfId="0" applyFont="1" applyFill="1" applyBorder="1" applyAlignment="1">
      <alignment horizontal="justify" vertical="center" wrapText="1"/>
    </xf>
    <xf numFmtId="0" fontId="2" fillId="0" borderId="6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10" applyNumberFormat="1" applyFont="1" applyFill="1" applyBorder="1" applyAlignment="1">
      <alignment horizontal="center" vertical="center"/>
    </xf>
    <xf numFmtId="49" fontId="2" fillId="0" borderId="7" xfId="1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61" xfId="0" applyFont="1" applyFill="1" applyBorder="1" applyAlignment="1">
      <alignment horizontal="justify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165" fontId="2" fillId="0" borderId="61" xfId="0" applyNumberFormat="1" applyFont="1" applyBorder="1" applyAlignment="1">
      <alignment horizontal="justify" vertical="center" wrapText="1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49" fontId="2" fillId="0" borderId="22" xfId="10" applyNumberFormat="1" applyFont="1" applyFill="1" applyBorder="1" applyAlignment="1">
      <alignment horizontal="center" vertical="center"/>
    </xf>
    <xf numFmtId="49" fontId="2" fillId="0" borderId="15" xfId="10" applyNumberFormat="1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/>
    </xf>
    <xf numFmtId="0" fontId="4" fillId="4" borderId="76" xfId="0" applyFont="1" applyFill="1" applyBorder="1" applyAlignment="1">
      <alignment horizontal="left" vertical="center" wrapText="1"/>
    </xf>
    <xf numFmtId="0" fontId="4" fillId="4" borderId="60" xfId="0" applyFont="1" applyFill="1" applyBorder="1" applyAlignment="1">
      <alignment horizontal="left" vertical="center" wrapText="1"/>
    </xf>
    <xf numFmtId="0" fontId="4" fillId="4" borderId="51" xfId="0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textRotation="90"/>
    </xf>
    <xf numFmtId="0" fontId="2" fillId="0" borderId="71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2" fontId="2" fillId="0" borderId="6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</cellXfs>
  <cellStyles count="11">
    <cellStyle name="Excel Built-in Normal" xfId="5"/>
    <cellStyle name="Įprastas" xfId="0" builtinId="0"/>
    <cellStyle name="Kablelis" xfId="6" builtinId="3"/>
    <cellStyle name="Kablelis 2" xfId="1"/>
    <cellStyle name="Normal_1 programa (11.14)" xfId="7"/>
    <cellStyle name="Normal_2 programa (11.14)" xfId="8"/>
    <cellStyle name="Normal_3 programa (11.15)" xfId="9"/>
    <cellStyle name="Normal_4 programa (11.13)" xfId="2"/>
    <cellStyle name="Normal_5 programa (11.14)" xfId="10"/>
    <cellStyle name="Normal_6 programa" xfId="3"/>
    <cellStyle name="Normal_Sheet1" xfId="4"/>
  </cellStyles>
  <dxfs count="88"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27"/>
  <sheetViews>
    <sheetView tabSelected="1" topLeftCell="G1" zoomScaleNormal="100" workbookViewId="0">
      <selection activeCell="AM19" sqref="AM19"/>
    </sheetView>
  </sheetViews>
  <sheetFormatPr defaultRowHeight="11.25" outlineLevelRow="1" x14ac:dyDescent="0.2"/>
  <cols>
    <col min="1" max="1" width="3.7109375" style="961" customWidth="1"/>
    <col min="2" max="2" width="3.28515625" style="961" customWidth="1"/>
    <col min="3" max="3" width="4.140625" style="961" customWidth="1"/>
    <col min="4" max="4" width="20.7109375" style="229" customWidth="1"/>
    <col min="5" max="5" width="9.28515625" style="229" customWidth="1"/>
    <col min="6" max="6" width="10" style="229" customWidth="1"/>
    <col min="7" max="7" width="8.7109375" style="229" customWidth="1"/>
    <col min="8" max="8" width="10.140625" style="229" customWidth="1"/>
    <col min="9" max="9" width="8.85546875" style="229" customWidth="1"/>
    <col min="10" max="11" width="9.5703125" style="229" customWidth="1"/>
    <col min="12" max="12" width="10.140625" style="490" customWidth="1"/>
    <col min="13" max="13" width="8.85546875" style="490" customWidth="1"/>
    <col min="14" max="15" width="9.5703125" style="490" customWidth="1"/>
    <col min="16" max="16" width="9.140625" style="229" customWidth="1"/>
    <col min="17" max="17" width="9.85546875" style="229" customWidth="1"/>
    <col min="18" max="18" width="21.5703125" style="229" customWidth="1"/>
    <col min="19" max="19" width="5.85546875" style="229" customWidth="1"/>
    <col min="20" max="20" width="6.7109375" style="229" customWidth="1"/>
    <col min="21" max="21" width="18.7109375" style="229" customWidth="1"/>
    <col min="22" max="30" width="0" style="229" hidden="1" customWidth="1"/>
    <col min="31" max="31" width="9.140625" style="229"/>
    <col min="32" max="36" width="0" style="229" hidden="1" customWidth="1"/>
    <col min="37" max="256" width="9.140625" style="229"/>
    <col min="257" max="257" width="3.7109375" style="229" customWidth="1"/>
    <col min="258" max="258" width="3.28515625" style="229" customWidth="1"/>
    <col min="259" max="259" width="4.140625" style="229" customWidth="1"/>
    <col min="260" max="260" width="20.7109375" style="229" customWidth="1"/>
    <col min="261" max="261" width="9.28515625" style="229" customWidth="1"/>
    <col min="262" max="262" width="10" style="229" customWidth="1"/>
    <col min="263" max="263" width="8.7109375" style="229" customWidth="1"/>
    <col min="264" max="264" width="10.140625" style="229" customWidth="1"/>
    <col min="265" max="265" width="8.85546875" style="229" customWidth="1"/>
    <col min="266" max="267" width="9.5703125" style="229" customWidth="1"/>
    <col min="268" max="268" width="10.140625" style="229" customWidth="1"/>
    <col min="269" max="269" width="8.85546875" style="229" customWidth="1"/>
    <col min="270" max="271" width="9.5703125" style="229" customWidth="1"/>
    <col min="272" max="272" width="9.140625" style="229" customWidth="1"/>
    <col min="273" max="273" width="9.85546875" style="229" customWidth="1"/>
    <col min="274" max="274" width="21.5703125" style="229" customWidth="1"/>
    <col min="275" max="275" width="5.85546875" style="229" customWidth="1"/>
    <col min="276" max="276" width="6.7109375" style="229" customWidth="1"/>
    <col min="277" max="277" width="18.7109375" style="229" customWidth="1"/>
    <col min="278" max="286" width="0" style="229" hidden="1" customWidth="1"/>
    <col min="287" max="287" width="9.140625" style="229"/>
    <col min="288" max="292" width="0" style="229" hidden="1" customWidth="1"/>
    <col min="293" max="512" width="9.140625" style="229"/>
    <col min="513" max="513" width="3.7109375" style="229" customWidth="1"/>
    <col min="514" max="514" width="3.28515625" style="229" customWidth="1"/>
    <col min="515" max="515" width="4.140625" style="229" customWidth="1"/>
    <col min="516" max="516" width="20.7109375" style="229" customWidth="1"/>
    <col min="517" max="517" width="9.28515625" style="229" customWidth="1"/>
    <col min="518" max="518" width="10" style="229" customWidth="1"/>
    <col min="519" max="519" width="8.7109375" style="229" customWidth="1"/>
    <col min="520" max="520" width="10.140625" style="229" customWidth="1"/>
    <col min="521" max="521" width="8.85546875" style="229" customWidth="1"/>
    <col min="522" max="523" width="9.5703125" style="229" customWidth="1"/>
    <col min="524" max="524" width="10.140625" style="229" customWidth="1"/>
    <col min="525" max="525" width="8.85546875" style="229" customWidth="1"/>
    <col min="526" max="527" width="9.5703125" style="229" customWidth="1"/>
    <col min="528" max="528" width="9.140625" style="229" customWidth="1"/>
    <col min="529" max="529" width="9.85546875" style="229" customWidth="1"/>
    <col min="530" max="530" width="21.5703125" style="229" customWidth="1"/>
    <col min="531" max="531" width="5.85546875" style="229" customWidth="1"/>
    <col min="532" max="532" width="6.7109375" style="229" customWidth="1"/>
    <col min="533" max="533" width="18.7109375" style="229" customWidth="1"/>
    <col min="534" max="542" width="0" style="229" hidden="1" customWidth="1"/>
    <col min="543" max="543" width="9.140625" style="229"/>
    <col min="544" max="548" width="0" style="229" hidden="1" customWidth="1"/>
    <col min="549" max="768" width="9.140625" style="229"/>
    <col min="769" max="769" width="3.7109375" style="229" customWidth="1"/>
    <col min="770" max="770" width="3.28515625" style="229" customWidth="1"/>
    <col min="771" max="771" width="4.140625" style="229" customWidth="1"/>
    <col min="772" max="772" width="20.7109375" style="229" customWidth="1"/>
    <col min="773" max="773" width="9.28515625" style="229" customWidth="1"/>
    <col min="774" max="774" width="10" style="229" customWidth="1"/>
    <col min="775" max="775" width="8.7109375" style="229" customWidth="1"/>
    <col min="776" max="776" width="10.140625" style="229" customWidth="1"/>
    <col min="777" max="777" width="8.85546875" style="229" customWidth="1"/>
    <col min="778" max="779" width="9.5703125" style="229" customWidth="1"/>
    <col min="780" max="780" width="10.140625" style="229" customWidth="1"/>
    <col min="781" max="781" width="8.85546875" style="229" customWidth="1"/>
    <col min="782" max="783" width="9.5703125" style="229" customWidth="1"/>
    <col min="784" max="784" width="9.140625" style="229" customWidth="1"/>
    <col min="785" max="785" width="9.85546875" style="229" customWidth="1"/>
    <col min="786" max="786" width="21.5703125" style="229" customWidth="1"/>
    <col min="787" max="787" width="5.85546875" style="229" customWidth="1"/>
    <col min="788" max="788" width="6.7109375" style="229" customWidth="1"/>
    <col min="789" max="789" width="18.7109375" style="229" customWidth="1"/>
    <col min="790" max="798" width="0" style="229" hidden="1" customWidth="1"/>
    <col min="799" max="799" width="9.140625" style="229"/>
    <col min="800" max="804" width="0" style="229" hidden="1" customWidth="1"/>
    <col min="805" max="1024" width="9.140625" style="229"/>
    <col min="1025" max="1025" width="3.7109375" style="229" customWidth="1"/>
    <col min="1026" max="1026" width="3.28515625" style="229" customWidth="1"/>
    <col min="1027" max="1027" width="4.140625" style="229" customWidth="1"/>
    <col min="1028" max="1028" width="20.7109375" style="229" customWidth="1"/>
    <col min="1029" max="1029" width="9.28515625" style="229" customWidth="1"/>
    <col min="1030" max="1030" width="10" style="229" customWidth="1"/>
    <col min="1031" max="1031" width="8.7109375" style="229" customWidth="1"/>
    <col min="1032" max="1032" width="10.140625" style="229" customWidth="1"/>
    <col min="1033" max="1033" width="8.85546875" style="229" customWidth="1"/>
    <col min="1034" max="1035" width="9.5703125" style="229" customWidth="1"/>
    <col min="1036" max="1036" width="10.140625" style="229" customWidth="1"/>
    <col min="1037" max="1037" width="8.85546875" style="229" customWidth="1"/>
    <col min="1038" max="1039" width="9.5703125" style="229" customWidth="1"/>
    <col min="1040" max="1040" width="9.140625" style="229" customWidth="1"/>
    <col min="1041" max="1041" width="9.85546875" style="229" customWidth="1"/>
    <col min="1042" max="1042" width="21.5703125" style="229" customWidth="1"/>
    <col min="1043" max="1043" width="5.85546875" style="229" customWidth="1"/>
    <col min="1044" max="1044" width="6.7109375" style="229" customWidth="1"/>
    <col min="1045" max="1045" width="18.7109375" style="229" customWidth="1"/>
    <col min="1046" max="1054" width="0" style="229" hidden="1" customWidth="1"/>
    <col min="1055" max="1055" width="9.140625" style="229"/>
    <col min="1056" max="1060" width="0" style="229" hidden="1" customWidth="1"/>
    <col min="1061" max="1280" width="9.140625" style="229"/>
    <col min="1281" max="1281" width="3.7109375" style="229" customWidth="1"/>
    <col min="1282" max="1282" width="3.28515625" style="229" customWidth="1"/>
    <col min="1283" max="1283" width="4.140625" style="229" customWidth="1"/>
    <col min="1284" max="1284" width="20.7109375" style="229" customWidth="1"/>
    <col min="1285" max="1285" width="9.28515625" style="229" customWidth="1"/>
    <col min="1286" max="1286" width="10" style="229" customWidth="1"/>
    <col min="1287" max="1287" width="8.7109375" style="229" customWidth="1"/>
    <col min="1288" max="1288" width="10.140625" style="229" customWidth="1"/>
    <col min="1289" max="1289" width="8.85546875" style="229" customWidth="1"/>
    <col min="1290" max="1291" width="9.5703125" style="229" customWidth="1"/>
    <col min="1292" max="1292" width="10.140625" style="229" customWidth="1"/>
    <col min="1293" max="1293" width="8.85546875" style="229" customWidth="1"/>
    <col min="1294" max="1295" width="9.5703125" style="229" customWidth="1"/>
    <col min="1296" max="1296" width="9.140625" style="229" customWidth="1"/>
    <col min="1297" max="1297" width="9.85546875" style="229" customWidth="1"/>
    <col min="1298" max="1298" width="21.5703125" style="229" customWidth="1"/>
    <col min="1299" max="1299" width="5.85546875" style="229" customWidth="1"/>
    <col min="1300" max="1300" width="6.7109375" style="229" customWidth="1"/>
    <col min="1301" max="1301" width="18.7109375" style="229" customWidth="1"/>
    <col min="1302" max="1310" width="0" style="229" hidden="1" customWidth="1"/>
    <col min="1311" max="1311" width="9.140625" style="229"/>
    <col min="1312" max="1316" width="0" style="229" hidden="1" customWidth="1"/>
    <col min="1317" max="1536" width="9.140625" style="229"/>
    <col min="1537" max="1537" width="3.7109375" style="229" customWidth="1"/>
    <col min="1538" max="1538" width="3.28515625" style="229" customWidth="1"/>
    <col min="1539" max="1539" width="4.140625" style="229" customWidth="1"/>
    <col min="1540" max="1540" width="20.7109375" style="229" customWidth="1"/>
    <col min="1541" max="1541" width="9.28515625" style="229" customWidth="1"/>
    <col min="1542" max="1542" width="10" style="229" customWidth="1"/>
    <col min="1543" max="1543" width="8.7109375" style="229" customWidth="1"/>
    <col min="1544" max="1544" width="10.140625" style="229" customWidth="1"/>
    <col min="1545" max="1545" width="8.85546875" style="229" customWidth="1"/>
    <col min="1546" max="1547" width="9.5703125" style="229" customWidth="1"/>
    <col min="1548" max="1548" width="10.140625" style="229" customWidth="1"/>
    <col min="1549" max="1549" width="8.85546875" style="229" customWidth="1"/>
    <col min="1550" max="1551" width="9.5703125" style="229" customWidth="1"/>
    <col min="1552" max="1552" width="9.140625" style="229" customWidth="1"/>
    <col min="1553" max="1553" width="9.85546875" style="229" customWidth="1"/>
    <col min="1554" max="1554" width="21.5703125" style="229" customWidth="1"/>
    <col min="1555" max="1555" width="5.85546875" style="229" customWidth="1"/>
    <col min="1556" max="1556" width="6.7109375" style="229" customWidth="1"/>
    <col min="1557" max="1557" width="18.7109375" style="229" customWidth="1"/>
    <col min="1558" max="1566" width="0" style="229" hidden="1" customWidth="1"/>
    <col min="1567" max="1567" width="9.140625" style="229"/>
    <col min="1568" max="1572" width="0" style="229" hidden="1" customWidth="1"/>
    <col min="1573" max="1792" width="9.140625" style="229"/>
    <col min="1793" max="1793" width="3.7109375" style="229" customWidth="1"/>
    <col min="1794" max="1794" width="3.28515625" style="229" customWidth="1"/>
    <col min="1795" max="1795" width="4.140625" style="229" customWidth="1"/>
    <col min="1796" max="1796" width="20.7109375" style="229" customWidth="1"/>
    <col min="1797" max="1797" width="9.28515625" style="229" customWidth="1"/>
    <col min="1798" max="1798" width="10" style="229" customWidth="1"/>
    <col min="1799" max="1799" width="8.7109375" style="229" customWidth="1"/>
    <col min="1800" max="1800" width="10.140625" style="229" customWidth="1"/>
    <col min="1801" max="1801" width="8.85546875" style="229" customWidth="1"/>
    <col min="1802" max="1803" width="9.5703125" style="229" customWidth="1"/>
    <col min="1804" max="1804" width="10.140625" style="229" customWidth="1"/>
    <col min="1805" max="1805" width="8.85546875" style="229" customWidth="1"/>
    <col min="1806" max="1807" width="9.5703125" style="229" customWidth="1"/>
    <col min="1808" max="1808" width="9.140625" style="229" customWidth="1"/>
    <col min="1809" max="1809" width="9.85546875" style="229" customWidth="1"/>
    <col min="1810" max="1810" width="21.5703125" style="229" customWidth="1"/>
    <col min="1811" max="1811" width="5.85546875" style="229" customWidth="1"/>
    <col min="1812" max="1812" width="6.7109375" style="229" customWidth="1"/>
    <col min="1813" max="1813" width="18.7109375" style="229" customWidth="1"/>
    <col min="1814" max="1822" width="0" style="229" hidden="1" customWidth="1"/>
    <col min="1823" max="1823" width="9.140625" style="229"/>
    <col min="1824" max="1828" width="0" style="229" hidden="1" customWidth="1"/>
    <col min="1829" max="2048" width="9.140625" style="229"/>
    <col min="2049" max="2049" width="3.7109375" style="229" customWidth="1"/>
    <col min="2050" max="2050" width="3.28515625" style="229" customWidth="1"/>
    <col min="2051" max="2051" width="4.140625" style="229" customWidth="1"/>
    <col min="2052" max="2052" width="20.7109375" style="229" customWidth="1"/>
    <col min="2053" max="2053" width="9.28515625" style="229" customWidth="1"/>
    <col min="2054" max="2054" width="10" style="229" customWidth="1"/>
    <col min="2055" max="2055" width="8.7109375" style="229" customWidth="1"/>
    <col min="2056" max="2056" width="10.140625" style="229" customWidth="1"/>
    <col min="2057" max="2057" width="8.85546875" style="229" customWidth="1"/>
    <col min="2058" max="2059" width="9.5703125" style="229" customWidth="1"/>
    <col min="2060" max="2060" width="10.140625" style="229" customWidth="1"/>
    <col min="2061" max="2061" width="8.85546875" style="229" customWidth="1"/>
    <col min="2062" max="2063" width="9.5703125" style="229" customWidth="1"/>
    <col min="2064" max="2064" width="9.140625" style="229" customWidth="1"/>
    <col min="2065" max="2065" width="9.85546875" style="229" customWidth="1"/>
    <col min="2066" max="2066" width="21.5703125" style="229" customWidth="1"/>
    <col min="2067" max="2067" width="5.85546875" style="229" customWidth="1"/>
    <col min="2068" max="2068" width="6.7109375" style="229" customWidth="1"/>
    <col min="2069" max="2069" width="18.7109375" style="229" customWidth="1"/>
    <col min="2070" max="2078" width="0" style="229" hidden="1" customWidth="1"/>
    <col min="2079" max="2079" width="9.140625" style="229"/>
    <col min="2080" max="2084" width="0" style="229" hidden="1" customWidth="1"/>
    <col min="2085" max="2304" width="9.140625" style="229"/>
    <col min="2305" max="2305" width="3.7109375" style="229" customWidth="1"/>
    <col min="2306" max="2306" width="3.28515625" style="229" customWidth="1"/>
    <col min="2307" max="2307" width="4.140625" style="229" customWidth="1"/>
    <col min="2308" max="2308" width="20.7109375" style="229" customWidth="1"/>
    <col min="2309" max="2309" width="9.28515625" style="229" customWidth="1"/>
    <col min="2310" max="2310" width="10" style="229" customWidth="1"/>
    <col min="2311" max="2311" width="8.7109375" style="229" customWidth="1"/>
    <col min="2312" max="2312" width="10.140625" style="229" customWidth="1"/>
    <col min="2313" max="2313" width="8.85546875" style="229" customWidth="1"/>
    <col min="2314" max="2315" width="9.5703125" style="229" customWidth="1"/>
    <col min="2316" max="2316" width="10.140625" style="229" customWidth="1"/>
    <col min="2317" max="2317" width="8.85546875" style="229" customWidth="1"/>
    <col min="2318" max="2319" width="9.5703125" style="229" customWidth="1"/>
    <col min="2320" max="2320" width="9.140625" style="229" customWidth="1"/>
    <col min="2321" max="2321" width="9.85546875" style="229" customWidth="1"/>
    <col min="2322" max="2322" width="21.5703125" style="229" customWidth="1"/>
    <col min="2323" max="2323" width="5.85546875" style="229" customWidth="1"/>
    <col min="2324" max="2324" width="6.7109375" style="229" customWidth="1"/>
    <col min="2325" max="2325" width="18.7109375" style="229" customWidth="1"/>
    <col min="2326" max="2334" width="0" style="229" hidden="1" customWidth="1"/>
    <col min="2335" max="2335" width="9.140625" style="229"/>
    <col min="2336" max="2340" width="0" style="229" hidden="1" customWidth="1"/>
    <col min="2341" max="2560" width="9.140625" style="229"/>
    <col min="2561" max="2561" width="3.7109375" style="229" customWidth="1"/>
    <col min="2562" max="2562" width="3.28515625" style="229" customWidth="1"/>
    <col min="2563" max="2563" width="4.140625" style="229" customWidth="1"/>
    <col min="2564" max="2564" width="20.7109375" style="229" customWidth="1"/>
    <col min="2565" max="2565" width="9.28515625" style="229" customWidth="1"/>
    <col min="2566" max="2566" width="10" style="229" customWidth="1"/>
    <col min="2567" max="2567" width="8.7109375" style="229" customWidth="1"/>
    <col min="2568" max="2568" width="10.140625" style="229" customWidth="1"/>
    <col min="2569" max="2569" width="8.85546875" style="229" customWidth="1"/>
    <col min="2570" max="2571" width="9.5703125" style="229" customWidth="1"/>
    <col min="2572" max="2572" width="10.140625" style="229" customWidth="1"/>
    <col min="2573" max="2573" width="8.85546875" style="229" customWidth="1"/>
    <col min="2574" max="2575" width="9.5703125" style="229" customWidth="1"/>
    <col min="2576" max="2576" width="9.140625" style="229" customWidth="1"/>
    <col min="2577" max="2577" width="9.85546875" style="229" customWidth="1"/>
    <col min="2578" max="2578" width="21.5703125" style="229" customWidth="1"/>
    <col min="2579" max="2579" width="5.85546875" style="229" customWidth="1"/>
    <col min="2580" max="2580" width="6.7109375" style="229" customWidth="1"/>
    <col min="2581" max="2581" width="18.7109375" style="229" customWidth="1"/>
    <col min="2582" max="2590" width="0" style="229" hidden="1" customWidth="1"/>
    <col min="2591" max="2591" width="9.140625" style="229"/>
    <col min="2592" max="2596" width="0" style="229" hidden="1" customWidth="1"/>
    <col min="2597" max="2816" width="9.140625" style="229"/>
    <col min="2817" max="2817" width="3.7109375" style="229" customWidth="1"/>
    <col min="2818" max="2818" width="3.28515625" style="229" customWidth="1"/>
    <col min="2819" max="2819" width="4.140625" style="229" customWidth="1"/>
    <col min="2820" max="2820" width="20.7109375" style="229" customWidth="1"/>
    <col min="2821" max="2821" width="9.28515625" style="229" customWidth="1"/>
    <col min="2822" max="2822" width="10" style="229" customWidth="1"/>
    <col min="2823" max="2823" width="8.7109375" style="229" customWidth="1"/>
    <col min="2824" max="2824" width="10.140625" style="229" customWidth="1"/>
    <col min="2825" max="2825" width="8.85546875" style="229" customWidth="1"/>
    <col min="2826" max="2827" width="9.5703125" style="229" customWidth="1"/>
    <col min="2828" max="2828" width="10.140625" style="229" customWidth="1"/>
    <col min="2829" max="2829" width="8.85546875" style="229" customWidth="1"/>
    <col min="2830" max="2831" width="9.5703125" style="229" customWidth="1"/>
    <col min="2832" max="2832" width="9.140625" style="229" customWidth="1"/>
    <col min="2833" max="2833" width="9.85546875" style="229" customWidth="1"/>
    <col min="2834" max="2834" width="21.5703125" style="229" customWidth="1"/>
    <col min="2835" max="2835" width="5.85546875" style="229" customWidth="1"/>
    <col min="2836" max="2836" width="6.7109375" style="229" customWidth="1"/>
    <col min="2837" max="2837" width="18.7109375" style="229" customWidth="1"/>
    <col min="2838" max="2846" width="0" style="229" hidden="1" customWidth="1"/>
    <col min="2847" max="2847" width="9.140625" style="229"/>
    <col min="2848" max="2852" width="0" style="229" hidden="1" customWidth="1"/>
    <col min="2853" max="3072" width="9.140625" style="229"/>
    <col min="3073" max="3073" width="3.7109375" style="229" customWidth="1"/>
    <col min="3074" max="3074" width="3.28515625" style="229" customWidth="1"/>
    <col min="3075" max="3075" width="4.140625" style="229" customWidth="1"/>
    <col min="3076" max="3076" width="20.7109375" style="229" customWidth="1"/>
    <col min="3077" max="3077" width="9.28515625" style="229" customWidth="1"/>
    <col min="3078" max="3078" width="10" style="229" customWidth="1"/>
    <col min="3079" max="3079" width="8.7109375" style="229" customWidth="1"/>
    <col min="3080" max="3080" width="10.140625" style="229" customWidth="1"/>
    <col min="3081" max="3081" width="8.85546875" style="229" customWidth="1"/>
    <col min="3082" max="3083" width="9.5703125" style="229" customWidth="1"/>
    <col min="3084" max="3084" width="10.140625" style="229" customWidth="1"/>
    <col min="3085" max="3085" width="8.85546875" style="229" customWidth="1"/>
    <col min="3086" max="3087" width="9.5703125" style="229" customWidth="1"/>
    <col min="3088" max="3088" width="9.140625" style="229" customWidth="1"/>
    <col min="3089" max="3089" width="9.85546875" style="229" customWidth="1"/>
    <col min="3090" max="3090" width="21.5703125" style="229" customWidth="1"/>
    <col min="3091" max="3091" width="5.85546875" style="229" customWidth="1"/>
    <col min="3092" max="3092" width="6.7109375" style="229" customWidth="1"/>
    <col min="3093" max="3093" width="18.7109375" style="229" customWidth="1"/>
    <col min="3094" max="3102" width="0" style="229" hidden="1" customWidth="1"/>
    <col min="3103" max="3103" width="9.140625" style="229"/>
    <col min="3104" max="3108" width="0" style="229" hidden="1" customWidth="1"/>
    <col min="3109" max="3328" width="9.140625" style="229"/>
    <col min="3329" max="3329" width="3.7109375" style="229" customWidth="1"/>
    <col min="3330" max="3330" width="3.28515625" style="229" customWidth="1"/>
    <col min="3331" max="3331" width="4.140625" style="229" customWidth="1"/>
    <col min="3332" max="3332" width="20.7109375" style="229" customWidth="1"/>
    <col min="3333" max="3333" width="9.28515625" style="229" customWidth="1"/>
    <col min="3334" max="3334" width="10" style="229" customWidth="1"/>
    <col min="3335" max="3335" width="8.7109375" style="229" customWidth="1"/>
    <col min="3336" max="3336" width="10.140625" style="229" customWidth="1"/>
    <col min="3337" max="3337" width="8.85546875" style="229" customWidth="1"/>
    <col min="3338" max="3339" width="9.5703125" style="229" customWidth="1"/>
    <col min="3340" max="3340" width="10.140625" style="229" customWidth="1"/>
    <col min="3341" max="3341" width="8.85546875" style="229" customWidth="1"/>
    <col min="3342" max="3343" width="9.5703125" style="229" customWidth="1"/>
    <col min="3344" max="3344" width="9.140625" style="229" customWidth="1"/>
    <col min="3345" max="3345" width="9.85546875" style="229" customWidth="1"/>
    <col min="3346" max="3346" width="21.5703125" style="229" customWidth="1"/>
    <col min="3347" max="3347" width="5.85546875" style="229" customWidth="1"/>
    <col min="3348" max="3348" width="6.7109375" style="229" customWidth="1"/>
    <col min="3349" max="3349" width="18.7109375" style="229" customWidth="1"/>
    <col min="3350" max="3358" width="0" style="229" hidden="1" customWidth="1"/>
    <col min="3359" max="3359" width="9.140625" style="229"/>
    <col min="3360" max="3364" width="0" style="229" hidden="1" customWidth="1"/>
    <col min="3365" max="3584" width="9.140625" style="229"/>
    <col min="3585" max="3585" width="3.7109375" style="229" customWidth="1"/>
    <col min="3586" max="3586" width="3.28515625" style="229" customWidth="1"/>
    <col min="3587" max="3587" width="4.140625" style="229" customWidth="1"/>
    <col min="3588" max="3588" width="20.7109375" style="229" customWidth="1"/>
    <col min="3589" max="3589" width="9.28515625" style="229" customWidth="1"/>
    <col min="3590" max="3590" width="10" style="229" customWidth="1"/>
    <col min="3591" max="3591" width="8.7109375" style="229" customWidth="1"/>
    <col min="3592" max="3592" width="10.140625" style="229" customWidth="1"/>
    <col min="3593" max="3593" width="8.85546875" style="229" customWidth="1"/>
    <col min="3594" max="3595" width="9.5703125" style="229" customWidth="1"/>
    <col min="3596" max="3596" width="10.140625" style="229" customWidth="1"/>
    <col min="3597" max="3597" width="8.85546875" style="229" customWidth="1"/>
    <col min="3598" max="3599" width="9.5703125" style="229" customWidth="1"/>
    <col min="3600" max="3600" width="9.140625" style="229" customWidth="1"/>
    <col min="3601" max="3601" width="9.85546875" style="229" customWidth="1"/>
    <col min="3602" max="3602" width="21.5703125" style="229" customWidth="1"/>
    <col min="3603" max="3603" width="5.85546875" style="229" customWidth="1"/>
    <col min="3604" max="3604" width="6.7109375" style="229" customWidth="1"/>
    <col min="3605" max="3605" width="18.7109375" style="229" customWidth="1"/>
    <col min="3606" max="3614" width="0" style="229" hidden="1" customWidth="1"/>
    <col min="3615" max="3615" width="9.140625" style="229"/>
    <col min="3616" max="3620" width="0" style="229" hidden="1" customWidth="1"/>
    <col min="3621" max="3840" width="9.140625" style="229"/>
    <col min="3841" max="3841" width="3.7109375" style="229" customWidth="1"/>
    <col min="3842" max="3842" width="3.28515625" style="229" customWidth="1"/>
    <col min="3843" max="3843" width="4.140625" style="229" customWidth="1"/>
    <col min="3844" max="3844" width="20.7109375" style="229" customWidth="1"/>
    <col min="3845" max="3845" width="9.28515625" style="229" customWidth="1"/>
    <col min="3846" max="3846" width="10" style="229" customWidth="1"/>
    <col min="3847" max="3847" width="8.7109375" style="229" customWidth="1"/>
    <col min="3848" max="3848" width="10.140625" style="229" customWidth="1"/>
    <col min="3849" max="3849" width="8.85546875" style="229" customWidth="1"/>
    <col min="3850" max="3851" width="9.5703125" style="229" customWidth="1"/>
    <col min="3852" max="3852" width="10.140625" style="229" customWidth="1"/>
    <col min="3853" max="3853" width="8.85546875" style="229" customWidth="1"/>
    <col min="3854" max="3855" width="9.5703125" style="229" customWidth="1"/>
    <col min="3856" max="3856" width="9.140625" style="229" customWidth="1"/>
    <col min="3857" max="3857" width="9.85546875" style="229" customWidth="1"/>
    <col min="3858" max="3858" width="21.5703125" style="229" customWidth="1"/>
    <col min="3859" max="3859" width="5.85546875" style="229" customWidth="1"/>
    <col min="3860" max="3860" width="6.7109375" style="229" customWidth="1"/>
    <col min="3861" max="3861" width="18.7109375" style="229" customWidth="1"/>
    <col min="3862" max="3870" width="0" style="229" hidden="1" customWidth="1"/>
    <col min="3871" max="3871" width="9.140625" style="229"/>
    <col min="3872" max="3876" width="0" style="229" hidden="1" customWidth="1"/>
    <col min="3877" max="4096" width="9.140625" style="229"/>
    <col min="4097" max="4097" width="3.7109375" style="229" customWidth="1"/>
    <col min="4098" max="4098" width="3.28515625" style="229" customWidth="1"/>
    <col min="4099" max="4099" width="4.140625" style="229" customWidth="1"/>
    <col min="4100" max="4100" width="20.7109375" style="229" customWidth="1"/>
    <col min="4101" max="4101" width="9.28515625" style="229" customWidth="1"/>
    <col min="4102" max="4102" width="10" style="229" customWidth="1"/>
    <col min="4103" max="4103" width="8.7109375" style="229" customWidth="1"/>
    <col min="4104" max="4104" width="10.140625" style="229" customWidth="1"/>
    <col min="4105" max="4105" width="8.85546875" style="229" customWidth="1"/>
    <col min="4106" max="4107" width="9.5703125" style="229" customWidth="1"/>
    <col min="4108" max="4108" width="10.140625" style="229" customWidth="1"/>
    <col min="4109" max="4109" width="8.85546875" style="229" customWidth="1"/>
    <col min="4110" max="4111" width="9.5703125" style="229" customWidth="1"/>
    <col min="4112" max="4112" width="9.140625" style="229" customWidth="1"/>
    <col min="4113" max="4113" width="9.85546875" style="229" customWidth="1"/>
    <col min="4114" max="4114" width="21.5703125" style="229" customWidth="1"/>
    <col min="4115" max="4115" width="5.85546875" style="229" customWidth="1"/>
    <col min="4116" max="4116" width="6.7109375" style="229" customWidth="1"/>
    <col min="4117" max="4117" width="18.7109375" style="229" customWidth="1"/>
    <col min="4118" max="4126" width="0" style="229" hidden="1" customWidth="1"/>
    <col min="4127" max="4127" width="9.140625" style="229"/>
    <col min="4128" max="4132" width="0" style="229" hidden="1" customWidth="1"/>
    <col min="4133" max="4352" width="9.140625" style="229"/>
    <col min="4353" max="4353" width="3.7109375" style="229" customWidth="1"/>
    <col min="4354" max="4354" width="3.28515625" style="229" customWidth="1"/>
    <col min="4355" max="4355" width="4.140625" style="229" customWidth="1"/>
    <col min="4356" max="4356" width="20.7109375" style="229" customWidth="1"/>
    <col min="4357" max="4357" width="9.28515625" style="229" customWidth="1"/>
    <col min="4358" max="4358" width="10" style="229" customWidth="1"/>
    <col min="4359" max="4359" width="8.7109375" style="229" customWidth="1"/>
    <col min="4360" max="4360" width="10.140625" style="229" customWidth="1"/>
    <col min="4361" max="4361" width="8.85546875" style="229" customWidth="1"/>
    <col min="4362" max="4363" width="9.5703125" style="229" customWidth="1"/>
    <col min="4364" max="4364" width="10.140625" style="229" customWidth="1"/>
    <col min="4365" max="4365" width="8.85546875" style="229" customWidth="1"/>
    <col min="4366" max="4367" width="9.5703125" style="229" customWidth="1"/>
    <col min="4368" max="4368" width="9.140625" style="229" customWidth="1"/>
    <col min="4369" max="4369" width="9.85546875" style="229" customWidth="1"/>
    <col min="4370" max="4370" width="21.5703125" style="229" customWidth="1"/>
    <col min="4371" max="4371" width="5.85546875" style="229" customWidth="1"/>
    <col min="4372" max="4372" width="6.7109375" style="229" customWidth="1"/>
    <col min="4373" max="4373" width="18.7109375" style="229" customWidth="1"/>
    <col min="4374" max="4382" width="0" style="229" hidden="1" customWidth="1"/>
    <col min="4383" max="4383" width="9.140625" style="229"/>
    <col min="4384" max="4388" width="0" style="229" hidden="1" customWidth="1"/>
    <col min="4389" max="4608" width="9.140625" style="229"/>
    <col min="4609" max="4609" width="3.7109375" style="229" customWidth="1"/>
    <col min="4610" max="4610" width="3.28515625" style="229" customWidth="1"/>
    <col min="4611" max="4611" width="4.140625" style="229" customWidth="1"/>
    <col min="4612" max="4612" width="20.7109375" style="229" customWidth="1"/>
    <col min="4613" max="4613" width="9.28515625" style="229" customWidth="1"/>
    <col min="4614" max="4614" width="10" style="229" customWidth="1"/>
    <col min="4615" max="4615" width="8.7109375" style="229" customWidth="1"/>
    <col min="4616" max="4616" width="10.140625" style="229" customWidth="1"/>
    <col min="4617" max="4617" width="8.85546875" style="229" customWidth="1"/>
    <col min="4618" max="4619" width="9.5703125" style="229" customWidth="1"/>
    <col min="4620" max="4620" width="10.140625" style="229" customWidth="1"/>
    <col min="4621" max="4621" width="8.85546875" style="229" customWidth="1"/>
    <col min="4622" max="4623" width="9.5703125" style="229" customWidth="1"/>
    <col min="4624" max="4624" width="9.140625" style="229" customWidth="1"/>
    <col min="4625" max="4625" width="9.85546875" style="229" customWidth="1"/>
    <col min="4626" max="4626" width="21.5703125" style="229" customWidth="1"/>
    <col min="4627" max="4627" width="5.85546875" style="229" customWidth="1"/>
    <col min="4628" max="4628" width="6.7109375" style="229" customWidth="1"/>
    <col min="4629" max="4629" width="18.7109375" style="229" customWidth="1"/>
    <col min="4630" max="4638" width="0" style="229" hidden="1" customWidth="1"/>
    <col min="4639" max="4639" width="9.140625" style="229"/>
    <col min="4640" max="4644" width="0" style="229" hidden="1" customWidth="1"/>
    <col min="4645" max="4864" width="9.140625" style="229"/>
    <col min="4865" max="4865" width="3.7109375" style="229" customWidth="1"/>
    <col min="4866" max="4866" width="3.28515625" style="229" customWidth="1"/>
    <col min="4867" max="4867" width="4.140625" style="229" customWidth="1"/>
    <col min="4868" max="4868" width="20.7109375" style="229" customWidth="1"/>
    <col min="4869" max="4869" width="9.28515625" style="229" customWidth="1"/>
    <col min="4870" max="4870" width="10" style="229" customWidth="1"/>
    <col min="4871" max="4871" width="8.7109375" style="229" customWidth="1"/>
    <col min="4872" max="4872" width="10.140625" style="229" customWidth="1"/>
    <col min="4873" max="4873" width="8.85546875" style="229" customWidth="1"/>
    <col min="4874" max="4875" width="9.5703125" style="229" customWidth="1"/>
    <col min="4876" max="4876" width="10.140625" style="229" customWidth="1"/>
    <col min="4877" max="4877" width="8.85546875" style="229" customWidth="1"/>
    <col min="4878" max="4879" width="9.5703125" style="229" customWidth="1"/>
    <col min="4880" max="4880" width="9.140625" style="229" customWidth="1"/>
    <col min="4881" max="4881" width="9.85546875" style="229" customWidth="1"/>
    <col min="4882" max="4882" width="21.5703125" style="229" customWidth="1"/>
    <col min="4883" max="4883" width="5.85546875" style="229" customWidth="1"/>
    <col min="4884" max="4884" width="6.7109375" style="229" customWidth="1"/>
    <col min="4885" max="4885" width="18.7109375" style="229" customWidth="1"/>
    <col min="4886" max="4894" width="0" style="229" hidden="1" customWidth="1"/>
    <col min="4895" max="4895" width="9.140625" style="229"/>
    <col min="4896" max="4900" width="0" style="229" hidden="1" customWidth="1"/>
    <col min="4901" max="5120" width="9.140625" style="229"/>
    <col min="5121" max="5121" width="3.7109375" style="229" customWidth="1"/>
    <col min="5122" max="5122" width="3.28515625" style="229" customWidth="1"/>
    <col min="5123" max="5123" width="4.140625" style="229" customWidth="1"/>
    <col min="5124" max="5124" width="20.7109375" style="229" customWidth="1"/>
    <col min="5125" max="5125" width="9.28515625" style="229" customWidth="1"/>
    <col min="5126" max="5126" width="10" style="229" customWidth="1"/>
    <col min="5127" max="5127" width="8.7109375" style="229" customWidth="1"/>
    <col min="5128" max="5128" width="10.140625" style="229" customWidth="1"/>
    <col min="5129" max="5129" width="8.85546875" style="229" customWidth="1"/>
    <col min="5130" max="5131" width="9.5703125" style="229" customWidth="1"/>
    <col min="5132" max="5132" width="10.140625" style="229" customWidth="1"/>
    <col min="5133" max="5133" width="8.85546875" style="229" customWidth="1"/>
    <col min="5134" max="5135" width="9.5703125" style="229" customWidth="1"/>
    <col min="5136" max="5136" width="9.140625" style="229" customWidth="1"/>
    <col min="5137" max="5137" width="9.85546875" style="229" customWidth="1"/>
    <col min="5138" max="5138" width="21.5703125" style="229" customWidth="1"/>
    <col min="5139" max="5139" width="5.85546875" style="229" customWidth="1"/>
    <col min="5140" max="5140" width="6.7109375" style="229" customWidth="1"/>
    <col min="5141" max="5141" width="18.7109375" style="229" customWidth="1"/>
    <col min="5142" max="5150" width="0" style="229" hidden="1" customWidth="1"/>
    <col min="5151" max="5151" width="9.140625" style="229"/>
    <col min="5152" max="5156" width="0" style="229" hidden="1" customWidth="1"/>
    <col min="5157" max="5376" width="9.140625" style="229"/>
    <col min="5377" max="5377" width="3.7109375" style="229" customWidth="1"/>
    <col min="5378" max="5378" width="3.28515625" style="229" customWidth="1"/>
    <col min="5379" max="5379" width="4.140625" style="229" customWidth="1"/>
    <col min="5380" max="5380" width="20.7109375" style="229" customWidth="1"/>
    <col min="5381" max="5381" width="9.28515625" style="229" customWidth="1"/>
    <col min="5382" max="5382" width="10" style="229" customWidth="1"/>
    <col min="5383" max="5383" width="8.7109375" style="229" customWidth="1"/>
    <col min="5384" max="5384" width="10.140625" style="229" customWidth="1"/>
    <col min="5385" max="5385" width="8.85546875" style="229" customWidth="1"/>
    <col min="5386" max="5387" width="9.5703125" style="229" customWidth="1"/>
    <col min="5388" max="5388" width="10.140625" style="229" customWidth="1"/>
    <col min="5389" max="5389" width="8.85546875" style="229" customWidth="1"/>
    <col min="5390" max="5391" width="9.5703125" style="229" customWidth="1"/>
    <col min="5392" max="5392" width="9.140625" style="229" customWidth="1"/>
    <col min="5393" max="5393" width="9.85546875" style="229" customWidth="1"/>
    <col min="5394" max="5394" width="21.5703125" style="229" customWidth="1"/>
    <col min="5395" max="5395" width="5.85546875" style="229" customWidth="1"/>
    <col min="5396" max="5396" width="6.7109375" style="229" customWidth="1"/>
    <col min="5397" max="5397" width="18.7109375" style="229" customWidth="1"/>
    <col min="5398" max="5406" width="0" style="229" hidden="1" customWidth="1"/>
    <col min="5407" max="5407" width="9.140625" style="229"/>
    <col min="5408" max="5412" width="0" style="229" hidden="1" customWidth="1"/>
    <col min="5413" max="5632" width="9.140625" style="229"/>
    <col min="5633" max="5633" width="3.7109375" style="229" customWidth="1"/>
    <col min="5634" max="5634" width="3.28515625" style="229" customWidth="1"/>
    <col min="5635" max="5635" width="4.140625" style="229" customWidth="1"/>
    <col min="5636" max="5636" width="20.7109375" style="229" customWidth="1"/>
    <col min="5637" max="5637" width="9.28515625" style="229" customWidth="1"/>
    <col min="5638" max="5638" width="10" style="229" customWidth="1"/>
    <col min="5639" max="5639" width="8.7109375" style="229" customWidth="1"/>
    <col min="5640" max="5640" width="10.140625" style="229" customWidth="1"/>
    <col min="5641" max="5641" width="8.85546875" style="229" customWidth="1"/>
    <col min="5642" max="5643" width="9.5703125" style="229" customWidth="1"/>
    <col min="5644" max="5644" width="10.140625" style="229" customWidth="1"/>
    <col min="5645" max="5645" width="8.85546875" style="229" customWidth="1"/>
    <col min="5646" max="5647" width="9.5703125" style="229" customWidth="1"/>
    <col min="5648" max="5648" width="9.140625" style="229" customWidth="1"/>
    <col min="5649" max="5649" width="9.85546875" style="229" customWidth="1"/>
    <col min="5650" max="5650" width="21.5703125" style="229" customWidth="1"/>
    <col min="5651" max="5651" width="5.85546875" style="229" customWidth="1"/>
    <col min="5652" max="5652" width="6.7109375" style="229" customWidth="1"/>
    <col min="5653" max="5653" width="18.7109375" style="229" customWidth="1"/>
    <col min="5654" max="5662" width="0" style="229" hidden="1" customWidth="1"/>
    <col min="5663" max="5663" width="9.140625" style="229"/>
    <col min="5664" max="5668" width="0" style="229" hidden="1" customWidth="1"/>
    <col min="5669" max="5888" width="9.140625" style="229"/>
    <col min="5889" max="5889" width="3.7109375" style="229" customWidth="1"/>
    <col min="5890" max="5890" width="3.28515625" style="229" customWidth="1"/>
    <col min="5891" max="5891" width="4.140625" style="229" customWidth="1"/>
    <col min="5892" max="5892" width="20.7109375" style="229" customWidth="1"/>
    <col min="5893" max="5893" width="9.28515625" style="229" customWidth="1"/>
    <col min="5894" max="5894" width="10" style="229" customWidth="1"/>
    <col min="5895" max="5895" width="8.7109375" style="229" customWidth="1"/>
    <col min="5896" max="5896" width="10.140625" style="229" customWidth="1"/>
    <col min="5897" max="5897" width="8.85546875" style="229" customWidth="1"/>
    <col min="5898" max="5899" width="9.5703125" style="229" customWidth="1"/>
    <col min="5900" max="5900" width="10.140625" style="229" customWidth="1"/>
    <col min="5901" max="5901" width="8.85546875" style="229" customWidth="1"/>
    <col min="5902" max="5903" width="9.5703125" style="229" customWidth="1"/>
    <col min="5904" max="5904" width="9.140625" style="229" customWidth="1"/>
    <col min="5905" max="5905" width="9.85546875" style="229" customWidth="1"/>
    <col min="5906" max="5906" width="21.5703125" style="229" customWidth="1"/>
    <col min="5907" max="5907" width="5.85546875" style="229" customWidth="1"/>
    <col min="5908" max="5908" width="6.7109375" style="229" customWidth="1"/>
    <col min="5909" max="5909" width="18.7109375" style="229" customWidth="1"/>
    <col min="5910" max="5918" width="0" style="229" hidden="1" customWidth="1"/>
    <col min="5919" max="5919" width="9.140625" style="229"/>
    <col min="5920" max="5924" width="0" style="229" hidden="1" customWidth="1"/>
    <col min="5925" max="6144" width="9.140625" style="229"/>
    <col min="6145" max="6145" width="3.7109375" style="229" customWidth="1"/>
    <col min="6146" max="6146" width="3.28515625" style="229" customWidth="1"/>
    <col min="6147" max="6147" width="4.140625" style="229" customWidth="1"/>
    <col min="6148" max="6148" width="20.7109375" style="229" customWidth="1"/>
    <col min="6149" max="6149" width="9.28515625" style="229" customWidth="1"/>
    <col min="6150" max="6150" width="10" style="229" customWidth="1"/>
    <col min="6151" max="6151" width="8.7109375" style="229" customWidth="1"/>
    <col min="6152" max="6152" width="10.140625" style="229" customWidth="1"/>
    <col min="6153" max="6153" width="8.85546875" style="229" customWidth="1"/>
    <col min="6154" max="6155" width="9.5703125" style="229" customWidth="1"/>
    <col min="6156" max="6156" width="10.140625" style="229" customWidth="1"/>
    <col min="6157" max="6157" width="8.85546875" style="229" customWidth="1"/>
    <col min="6158" max="6159" width="9.5703125" style="229" customWidth="1"/>
    <col min="6160" max="6160" width="9.140625" style="229" customWidth="1"/>
    <col min="6161" max="6161" width="9.85546875" style="229" customWidth="1"/>
    <col min="6162" max="6162" width="21.5703125" style="229" customWidth="1"/>
    <col min="6163" max="6163" width="5.85546875" style="229" customWidth="1"/>
    <col min="6164" max="6164" width="6.7109375" style="229" customWidth="1"/>
    <col min="6165" max="6165" width="18.7109375" style="229" customWidth="1"/>
    <col min="6166" max="6174" width="0" style="229" hidden="1" customWidth="1"/>
    <col min="6175" max="6175" width="9.140625" style="229"/>
    <col min="6176" max="6180" width="0" style="229" hidden="1" customWidth="1"/>
    <col min="6181" max="6400" width="9.140625" style="229"/>
    <col min="6401" max="6401" width="3.7109375" style="229" customWidth="1"/>
    <col min="6402" max="6402" width="3.28515625" style="229" customWidth="1"/>
    <col min="6403" max="6403" width="4.140625" style="229" customWidth="1"/>
    <col min="6404" max="6404" width="20.7109375" style="229" customWidth="1"/>
    <col min="6405" max="6405" width="9.28515625" style="229" customWidth="1"/>
    <col min="6406" max="6406" width="10" style="229" customWidth="1"/>
    <col min="6407" max="6407" width="8.7109375" style="229" customWidth="1"/>
    <col min="6408" max="6408" width="10.140625" style="229" customWidth="1"/>
    <col min="6409" max="6409" width="8.85546875" style="229" customWidth="1"/>
    <col min="6410" max="6411" width="9.5703125" style="229" customWidth="1"/>
    <col min="6412" max="6412" width="10.140625" style="229" customWidth="1"/>
    <col min="6413" max="6413" width="8.85546875" style="229" customWidth="1"/>
    <col min="6414" max="6415" width="9.5703125" style="229" customWidth="1"/>
    <col min="6416" max="6416" width="9.140625" style="229" customWidth="1"/>
    <col min="6417" max="6417" width="9.85546875" style="229" customWidth="1"/>
    <col min="6418" max="6418" width="21.5703125" style="229" customWidth="1"/>
    <col min="6419" max="6419" width="5.85546875" style="229" customWidth="1"/>
    <col min="6420" max="6420" width="6.7109375" style="229" customWidth="1"/>
    <col min="6421" max="6421" width="18.7109375" style="229" customWidth="1"/>
    <col min="6422" max="6430" width="0" style="229" hidden="1" customWidth="1"/>
    <col min="6431" max="6431" width="9.140625" style="229"/>
    <col min="6432" max="6436" width="0" style="229" hidden="1" customWidth="1"/>
    <col min="6437" max="6656" width="9.140625" style="229"/>
    <col min="6657" max="6657" width="3.7109375" style="229" customWidth="1"/>
    <col min="6658" max="6658" width="3.28515625" style="229" customWidth="1"/>
    <col min="6659" max="6659" width="4.140625" style="229" customWidth="1"/>
    <col min="6660" max="6660" width="20.7109375" style="229" customWidth="1"/>
    <col min="6661" max="6661" width="9.28515625" style="229" customWidth="1"/>
    <col min="6662" max="6662" width="10" style="229" customWidth="1"/>
    <col min="6663" max="6663" width="8.7109375" style="229" customWidth="1"/>
    <col min="6664" max="6664" width="10.140625" style="229" customWidth="1"/>
    <col min="6665" max="6665" width="8.85546875" style="229" customWidth="1"/>
    <col min="6666" max="6667" width="9.5703125" style="229" customWidth="1"/>
    <col min="6668" max="6668" width="10.140625" style="229" customWidth="1"/>
    <col min="6669" max="6669" width="8.85546875" style="229" customWidth="1"/>
    <col min="6670" max="6671" width="9.5703125" style="229" customWidth="1"/>
    <col min="6672" max="6672" width="9.140625" style="229" customWidth="1"/>
    <col min="6673" max="6673" width="9.85546875" style="229" customWidth="1"/>
    <col min="6674" max="6674" width="21.5703125" style="229" customWidth="1"/>
    <col min="6675" max="6675" width="5.85546875" style="229" customWidth="1"/>
    <col min="6676" max="6676" width="6.7109375" style="229" customWidth="1"/>
    <col min="6677" max="6677" width="18.7109375" style="229" customWidth="1"/>
    <col min="6678" max="6686" width="0" style="229" hidden="1" customWidth="1"/>
    <col min="6687" max="6687" width="9.140625" style="229"/>
    <col min="6688" max="6692" width="0" style="229" hidden="1" customWidth="1"/>
    <col min="6693" max="6912" width="9.140625" style="229"/>
    <col min="6913" max="6913" width="3.7109375" style="229" customWidth="1"/>
    <col min="6914" max="6914" width="3.28515625" style="229" customWidth="1"/>
    <col min="6915" max="6915" width="4.140625" style="229" customWidth="1"/>
    <col min="6916" max="6916" width="20.7109375" style="229" customWidth="1"/>
    <col min="6917" max="6917" width="9.28515625" style="229" customWidth="1"/>
    <col min="6918" max="6918" width="10" style="229" customWidth="1"/>
    <col min="6919" max="6919" width="8.7109375" style="229" customWidth="1"/>
    <col min="6920" max="6920" width="10.140625" style="229" customWidth="1"/>
    <col min="6921" max="6921" width="8.85546875" style="229" customWidth="1"/>
    <col min="6922" max="6923" width="9.5703125" style="229" customWidth="1"/>
    <col min="6924" max="6924" width="10.140625" style="229" customWidth="1"/>
    <col min="6925" max="6925" width="8.85546875" style="229" customWidth="1"/>
    <col min="6926" max="6927" width="9.5703125" style="229" customWidth="1"/>
    <col min="6928" max="6928" width="9.140625" style="229" customWidth="1"/>
    <col min="6929" max="6929" width="9.85546875" style="229" customWidth="1"/>
    <col min="6930" max="6930" width="21.5703125" style="229" customWidth="1"/>
    <col min="6931" max="6931" width="5.85546875" style="229" customWidth="1"/>
    <col min="6932" max="6932" width="6.7109375" style="229" customWidth="1"/>
    <col min="6933" max="6933" width="18.7109375" style="229" customWidth="1"/>
    <col min="6934" max="6942" width="0" style="229" hidden="1" customWidth="1"/>
    <col min="6943" max="6943" width="9.140625" style="229"/>
    <col min="6944" max="6948" width="0" style="229" hidden="1" customWidth="1"/>
    <col min="6949" max="7168" width="9.140625" style="229"/>
    <col min="7169" max="7169" width="3.7109375" style="229" customWidth="1"/>
    <col min="7170" max="7170" width="3.28515625" style="229" customWidth="1"/>
    <col min="7171" max="7171" width="4.140625" style="229" customWidth="1"/>
    <col min="7172" max="7172" width="20.7109375" style="229" customWidth="1"/>
    <col min="7173" max="7173" width="9.28515625" style="229" customWidth="1"/>
    <col min="7174" max="7174" width="10" style="229" customWidth="1"/>
    <col min="7175" max="7175" width="8.7109375" style="229" customWidth="1"/>
    <col min="7176" max="7176" width="10.140625" style="229" customWidth="1"/>
    <col min="7177" max="7177" width="8.85546875" style="229" customWidth="1"/>
    <col min="7178" max="7179" width="9.5703125" style="229" customWidth="1"/>
    <col min="7180" max="7180" width="10.140625" style="229" customWidth="1"/>
    <col min="7181" max="7181" width="8.85546875" style="229" customWidth="1"/>
    <col min="7182" max="7183" width="9.5703125" style="229" customWidth="1"/>
    <col min="7184" max="7184" width="9.140625" style="229" customWidth="1"/>
    <col min="7185" max="7185" width="9.85546875" style="229" customWidth="1"/>
    <col min="7186" max="7186" width="21.5703125" style="229" customWidth="1"/>
    <col min="7187" max="7187" width="5.85546875" style="229" customWidth="1"/>
    <col min="7188" max="7188" width="6.7109375" style="229" customWidth="1"/>
    <col min="7189" max="7189" width="18.7109375" style="229" customWidth="1"/>
    <col min="7190" max="7198" width="0" style="229" hidden="1" customWidth="1"/>
    <col min="7199" max="7199" width="9.140625" style="229"/>
    <col min="7200" max="7204" width="0" style="229" hidden="1" customWidth="1"/>
    <col min="7205" max="7424" width="9.140625" style="229"/>
    <col min="7425" max="7425" width="3.7109375" style="229" customWidth="1"/>
    <col min="7426" max="7426" width="3.28515625" style="229" customWidth="1"/>
    <col min="7427" max="7427" width="4.140625" style="229" customWidth="1"/>
    <col min="7428" max="7428" width="20.7109375" style="229" customWidth="1"/>
    <col min="7429" max="7429" width="9.28515625" style="229" customWidth="1"/>
    <col min="7430" max="7430" width="10" style="229" customWidth="1"/>
    <col min="7431" max="7431" width="8.7109375" style="229" customWidth="1"/>
    <col min="7432" max="7432" width="10.140625" style="229" customWidth="1"/>
    <col min="7433" max="7433" width="8.85546875" style="229" customWidth="1"/>
    <col min="7434" max="7435" width="9.5703125" style="229" customWidth="1"/>
    <col min="7436" max="7436" width="10.140625" style="229" customWidth="1"/>
    <col min="7437" max="7437" width="8.85546875" style="229" customWidth="1"/>
    <col min="7438" max="7439" width="9.5703125" style="229" customWidth="1"/>
    <col min="7440" max="7440" width="9.140625" style="229" customWidth="1"/>
    <col min="7441" max="7441" width="9.85546875" style="229" customWidth="1"/>
    <col min="7442" max="7442" width="21.5703125" style="229" customWidth="1"/>
    <col min="7443" max="7443" width="5.85546875" style="229" customWidth="1"/>
    <col min="7444" max="7444" width="6.7109375" style="229" customWidth="1"/>
    <col min="7445" max="7445" width="18.7109375" style="229" customWidth="1"/>
    <col min="7446" max="7454" width="0" style="229" hidden="1" customWidth="1"/>
    <col min="7455" max="7455" width="9.140625" style="229"/>
    <col min="7456" max="7460" width="0" style="229" hidden="1" customWidth="1"/>
    <col min="7461" max="7680" width="9.140625" style="229"/>
    <col min="7681" max="7681" width="3.7109375" style="229" customWidth="1"/>
    <col min="7682" max="7682" width="3.28515625" style="229" customWidth="1"/>
    <col min="7683" max="7683" width="4.140625" style="229" customWidth="1"/>
    <col min="7684" max="7684" width="20.7109375" style="229" customWidth="1"/>
    <col min="7685" max="7685" width="9.28515625" style="229" customWidth="1"/>
    <col min="7686" max="7686" width="10" style="229" customWidth="1"/>
    <col min="7687" max="7687" width="8.7109375" style="229" customWidth="1"/>
    <col min="7688" max="7688" width="10.140625" style="229" customWidth="1"/>
    <col min="7689" max="7689" width="8.85546875" style="229" customWidth="1"/>
    <col min="7690" max="7691" width="9.5703125" style="229" customWidth="1"/>
    <col min="7692" max="7692" width="10.140625" style="229" customWidth="1"/>
    <col min="7693" max="7693" width="8.85546875" style="229" customWidth="1"/>
    <col min="7694" max="7695" width="9.5703125" style="229" customWidth="1"/>
    <col min="7696" max="7696" width="9.140625" style="229" customWidth="1"/>
    <col min="7697" max="7697" width="9.85546875" style="229" customWidth="1"/>
    <col min="7698" max="7698" width="21.5703125" style="229" customWidth="1"/>
    <col min="7699" max="7699" width="5.85546875" style="229" customWidth="1"/>
    <col min="7700" max="7700" width="6.7109375" style="229" customWidth="1"/>
    <col min="7701" max="7701" width="18.7109375" style="229" customWidth="1"/>
    <col min="7702" max="7710" width="0" style="229" hidden="1" customWidth="1"/>
    <col min="7711" max="7711" width="9.140625" style="229"/>
    <col min="7712" max="7716" width="0" style="229" hidden="1" customWidth="1"/>
    <col min="7717" max="7936" width="9.140625" style="229"/>
    <col min="7937" max="7937" width="3.7109375" style="229" customWidth="1"/>
    <col min="7938" max="7938" width="3.28515625" style="229" customWidth="1"/>
    <col min="7939" max="7939" width="4.140625" style="229" customWidth="1"/>
    <col min="7940" max="7940" width="20.7109375" style="229" customWidth="1"/>
    <col min="7941" max="7941" width="9.28515625" style="229" customWidth="1"/>
    <col min="7942" max="7942" width="10" style="229" customWidth="1"/>
    <col min="7943" max="7943" width="8.7109375" style="229" customWidth="1"/>
    <col min="7944" max="7944" width="10.140625" style="229" customWidth="1"/>
    <col min="7945" max="7945" width="8.85546875" style="229" customWidth="1"/>
    <col min="7946" max="7947" width="9.5703125" style="229" customWidth="1"/>
    <col min="7948" max="7948" width="10.140625" style="229" customWidth="1"/>
    <col min="7949" max="7949" width="8.85546875" style="229" customWidth="1"/>
    <col min="7950" max="7951" width="9.5703125" style="229" customWidth="1"/>
    <col min="7952" max="7952" width="9.140625" style="229" customWidth="1"/>
    <col min="7953" max="7953" width="9.85546875" style="229" customWidth="1"/>
    <col min="7954" max="7954" width="21.5703125" style="229" customWidth="1"/>
    <col min="7955" max="7955" width="5.85546875" style="229" customWidth="1"/>
    <col min="7956" max="7956" width="6.7109375" style="229" customWidth="1"/>
    <col min="7957" max="7957" width="18.7109375" style="229" customWidth="1"/>
    <col min="7958" max="7966" width="0" style="229" hidden="1" customWidth="1"/>
    <col min="7967" max="7967" width="9.140625" style="229"/>
    <col min="7968" max="7972" width="0" style="229" hidden="1" customWidth="1"/>
    <col min="7973" max="8192" width="9.140625" style="229"/>
    <col min="8193" max="8193" width="3.7109375" style="229" customWidth="1"/>
    <col min="8194" max="8194" width="3.28515625" style="229" customWidth="1"/>
    <col min="8195" max="8195" width="4.140625" style="229" customWidth="1"/>
    <col min="8196" max="8196" width="20.7109375" style="229" customWidth="1"/>
    <col min="8197" max="8197" width="9.28515625" style="229" customWidth="1"/>
    <col min="8198" max="8198" width="10" style="229" customWidth="1"/>
    <col min="8199" max="8199" width="8.7109375" style="229" customWidth="1"/>
    <col min="8200" max="8200" width="10.140625" style="229" customWidth="1"/>
    <col min="8201" max="8201" width="8.85546875" style="229" customWidth="1"/>
    <col min="8202" max="8203" width="9.5703125" style="229" customWidth="1"/>
    <col min="8204" max="8204" width="10.140625" style="229" customWidth="1"/>
    <col min="8205" max="8205" width="8.85546875" style="229" customWidth="1"/>
    <col min="8206" max="8207" width="9.5703125" style="229" customWidth="1"/>
    <col min="8208" max="8208" width="9.140625" style="229" customWidth="1"/>
    <col min="8209" max="8209" width="9.85546875" style="229" customWidth="1"/>
    <col min="8210" max="8210" width="21.5703125" style="229" customWidth="1"/>
    <col min="8211" max="8211" width="5.85546875" style="229" customWidth="1"/>
    <col min="8212" max="8212" width="6.7109375" style="229" customWidth="1"/>
    <col min="8213" max="8213" width="18.7109375" style="229" customWidth="1"/>
    <col min="8214" max="8222" width="0" style="229" hidden="1" customWidth="1"/>
    <col min="8223" max="8223" width="9.140625" style="229"/>
    <col min="8224" max="8228" width="0" style="229" hidden="1" customWidth="1"/>
    <col min="8229" max="8448" width="9.140625" style="229"/>
    <col min="8449" max="8449" width="3.7109375" style="229" customWidth="1"/>
    <col min="8450" max="8450" width="3.28515625" style="229" customWidth="1"/>
    <col min="8451" max="8451" width="4.140625" style="229" customWidth="1"/>
    <col min="8452" max="8452" width="20.7109375" style="229" customWidth="1"/>
    <col min="8453" max="8453" width="9.28515625" style="229" customWidth="1"/>
    <col min="8454" max="8454" width="10" style="229" customWidth="1"/>
    <col min="8455" max="8455" width="8.7109375" style="229" customWidth="1"/>
    <col min="8456" max="8456" width="10.140625" style="229" customWidth="1"/>
    <col min="8457" max="8457" width="8.85546875" style="229" customWidth="1"/>
    <col min="8458" max="8459" width="9.5703125" style="229" customWidth="1"/>
    <col min="8460" max="8460" width="10.140625" style="229" customWidth="1"/>
    <col min="8461" max="8461" width="8.85546875" style="229" customWidth="1"/>
    <col min="8462" max="8463" width="9.5703125" style="229" customWidth="1"/>
    <col min="8464" max="8464" width="9.140625" style="229" customWidth="1"/>
    <col min="8465" max="8465" width="9.85546875" style="229" customWidth="1"/>
    <col min="8466" max="8466" width="21.5703125" style="229" customWidth="1"/>
    <col min="8467" max="8467" width="5.85546875" style="229" customWidth="1"/>
    <col min="8468" max="8468" width="6.7109375" style="229" customWidth="1"/>
    <col min="8469" max="8469" width="18.7109375" style="229" customWidth="1"/>
    <col min="8470" max="8478" width="0" style="229" hidden="1" customWidth="1"/>
    <col min="8479" max="8479" width="9.140625" style="229"/>
    <col min="8480" max="8484" width="0" style="229" hidden="1" customWidth="1"/>
    <col min="8485" max="8704" width="9.140625" style="229"/>
    <col min="8705" max="8705" width="3.7109375" style="229" customWidth="1"/>
    <col min="8706" max="8706" width="3.28515625" style="229" customWidth="1"/>
    <col min="8707" max="8707" width="4.140625" style="229" customWidth="1"/>
    <col min="8708" max="8708" width="20.7109375" style="229" customWidth="1"/>
    <col min="8709" max="8709" width="9.28515625" style="229" customWidth="1"/>
    <col min="8710" max="8710" width="10" style="229" customWidth="1"/>
    <col min="8711" max="8711" width="8.7109375" style="229" customWidth="1"/>
    <col min="8712" max="8712" width="10.140625" style="229" customWidth="1"/>
    <col min="8713" max="8713" width="8.85546875" style="229" customWidth="1"/>
    <col min="8714" max="8715" width="9.5703125" style="229" customWidth="1"/>
    <col min="8716" max="8716" width="10.140625" style="229" customWidth="1"/>
    <col min="8717" max="8717" width="8.85546875" style="229" customWidth="1"/>
    <col min="8718" max="8719" width="9.5703125" style="229" customWidth="1"/>
    <col min="8720" max="8720" width="9.140625" style="229" customWidth="1"/>
    <col min="8721" max="8721" width="9.85546875" style="229" customWidth="1"/>
    <col min="8722" max="8722" width="21.5703125" style="229" customWidth="1"/>
    <col min="8723" max="8723" width="5.85546875" style="229" customWidth="1"/>
    <col min="8724" max="8724" width="6.7109375" style="229" customWidth="1"/>
    <col min="8725" max="8725" width="18.7109375" style="229" customWidth="1"/>
    <col min="8726" max="8734" width="0" style="229" hidden="1" customWidth="1"/>
    <col min="8735" max="8735" width="9.140625" style="229"/>
    <col min="8736" max="8740" width="0" style="229" hidden="1" customWidth="1"/>
    <col min="8741" max="8960" width="9.140625" style="229"/>
    <col min="8961" max="8961" width="3.7109375" style="229" customWidth="1"/>
    <col min="8962" max="8962" width="3.28515625" style="229" customWidth="1"/>
    <col min="8963" max="8963" width="4.140625" style="229" customWidth="1"/>
    <col min="8964" max="8964" width="20.7109375" style="229" customWidth="1"/>
    <col min="8965" max="8965" width="9.28515625" style="229" customWidth="1"/>
    <col min="8966" max="8966" width="10" style="229" customWidth="1"/>
    <col min="8967" max="8967" width="8.7109375" style="229" customWidth="1"/>
    <col min="8968" max="8968" width="10.140625" style="229" customWidth="1"/>
    <col min="8969" max="8969" width="8.85546875" style="229" customWidth="1"/>
    <col min="8970" max="8971" width="9.5703125" style="229" customWidth="1"/>
    <col min="8972" max="8972" width="10.140625" style="229" customWidth="1"/>
    <col min="8973" max="8973" width="8.85546875" style="229" customWidth="1"/>
    <col min="8974" max="8975" width="9.5703125" style="229" customWidth="1"/>
    <col min="8976" max="8976" width="9.140625" style="229" customWidth="1"/>
    <col min="8977" max="8977" width="9.85546875" style="229" customWidth="1"/>
    <col min="8978" max="8978" width="21.5703125" style="229" customWidth="1"/>
    <col min="8979" max="8979" width="5.85546875" style="229" customWidth="1"/>
    <col min="8980" max="8980" width="6.7109375" style="229" customWidth="1"/>
    <col min="8981" max="8981" width="18.7109375" style="229" customWidth="1"/>
    <col min="8982" max="8990" width="0" style="229" hidden="1" customWidth="1"/>
    <col min="8991" max="8991" width="9.140625" style="229"/>
    <col min="8992" max="8996" width="0" style="229" hidden="1" customWidth="1"/>
    <col min="8997" max="9216" width="9.140625" style="229"/>
    <col min="9217" max="9217" width="3.7109375" style="229" customWidth="1"/>
    <col min="9218" max="9218" width="3.28515625" style="229" customWidth="1"/>
    <col min="9219" max="9219" width="4.140625" style="229" customWidth="1"/>
    <col min="9220" max="9220" width="20.7109375" style="229" customWidth="1"/>
    <col min="9221" max="9221" width="9.28515625" style="229" customWidth="1"/>
    <col min="9222" max="9222" width="10" style="229" customWidth="1"/>
    <col min="9223" max="9223" width="8.7109375" style="229" customWidth="1"/>
    <col min="9224" max="9224" width="10.140625" style="229" customWidth="1"/>
    <col min="9225" max="9225" width="8.85546875" style="229" customWidth="1"/>
    <col min="9226" max="9227" width="9.5703125" style="229" customWidth="1"/>
    <col min="9228" max="9228" width="10.140625" style="229" customWidth="1"/>
    <col min="9229" max="9229" width="8.85546875" style="229" customWidth="1"/>
    <col min="9230" max="9231" width="9.5703125" style="229" customWidth="1"/>
    <col min="9232" max="9232" width="9.140625" style="229" customWidth="1"/>
    <col min="9233" max="9233" width="9.85546875" style="229" customWidth="1"/>
    <col min="9234" max="9234" width="21.5703125" style="229" customWidth="1"/>
    <col min="9235" max="9235" width="5.85546875" style="229" customWidth="1"/>
    <col min="9236" max="9236" width="6.7109375" style="229" customWidth="1"/>
    <col min="9237" max="9237" width="18.7109375" style="229" customWidth="1"/>
    <col min="9238" max="9246" width="0" style="229" hidden="1" customWidth="1"/>
    <col min="9247" max="9247" width="9.140625" style="229"/>
    <col min="9248" max="9252" width="0" style="229" hidden="1" customWidth="1"/>
    <col min="9253" max="9472" width="9.140625" style="229"/>
    <col min="9473" max="9473" width="3.7109375" style="229" customWidth="1"/>
    <col min="9474" max="9474" width="3.28515625" style="229" customWidth="1"/>
    <col min="9475" max="9475" width="4.140625" style="229" customWidth="1"/>
    <col min="9476" max="9476" width="20.7109375" style="229" customWidth="1"/>
    <col min="9477" max="9477" width="9.28515625" style="229" customWidth="1"/>
    <col min="9478" max="9478" width="10" style="229" customWidth="1"/>
    <col min="9479" max="9479" width="8.7109375" style="229" customWidth="1"/>
    <col min="9480" max="9480" width="10.140625" style="229" customWidth="1"/>
    <col min="9481" max="9481" width="8.85546875" style="229" customWidth="1"/>
    <col min="9482" max="9483" width="9.5703125" style="229" customWidth="1"/>
    <col min="9484" max="9484" width="10.140625" style="229" customWidth="1"/>
    <col min="9485" max="9485" width="8.85546875" style="229" customWidth="1"/>
    <col min="9486" max="9487" width="9.5703125" style="229" customWidth="1"/>
    <col min="9488" max="9488" width="9.140625" style="229" customWidth="1"/>
    <col min="9489" max="9489" width="9.85546875" style="229" customWidth="1"/>
    <col min="9490" max="9490" width="21.5703125" style="229" customWidth="1"/>
    <col min="9491" max="9491" width="5.85546875" style="229" customWidth="1"/>
    <col min="9492" max="9492" width="6.7109375" style="229" customWidth="1"/>
    <col min="9493" max="9493" width="18.7109375" style="229" customWidth="1"/>
    <col min="9494" max="9502" width="0" style="229" hidden="1" customWidth="1"/>
    <col min="9503" max="9503" width="9.140625" style="229"/>
    <col min="9504" max="9508" width="0" style="229" hidden="1" customWidth="1"/>
    <col min="9509" max="9728" width="9.140625" style="229"/>
    <col min="9729" max="9729" width="3.7109375" style="229" customWidth="1"/>
    <col min="9730" max="9730" width="3.28515625" style="229" customWidth="1"/>
    <col min="9731" max="9731" width="4.140625" style="229" customWidth="1"/>
    <col min="9732" max="9732" width="20.7109375" style="229" customWidth="1"/>
    <col min="9733" max="9733" width="9.28515625" style="229" customWidth="1"/>
    <col min="9734" max="9734" width="10" style="229" customWidth="1"/>
    <col min="9735" max="9735" width="8.7109375" style="229" customWidth="1"/>
    <col min="9736" max="9736" width="10.140625" style="229" customWidth="1"/>
    <col min="9737" max="9737" width="8.85546875" style="229" customWidth="1"/>
    <col min="9738" max="9739" width="9.5703125" style="229" customWidth="1"/>
    <col min="9740" max="9740" width="10.140625" style="229" customWidth="1"/>
    <col min="9741" max="9741" width="8.85546875" style="229" customWidth="1"/>
    <col min="9742" max="9743" width="9.5703125" style="229" customWidth="1"/>
    <col min="9744" max="9744" width="9.140625" style="229" customWidth="1"/>
    <col min="9745" max="9745" width="9.85546875" style="229" customWidth="1"/>
    <col min="9746" max="9746" width="21.5703125" style="229" customWidth="1"/>
    <col min="9747" max="9747" width="5.85546875" style="229" customWidth="1"/>
    <col min="9748" max="9748" width="6.7109375" style="229" customWidth="1"/>
    <col min="9749" max="9749" width="18.7109375" style="229" customWidth="1"/>
    <col min="9750" max="9758" width="0" style="229" hidden="1" customWidth="1"/>
    <col min="9759" max="9759" width="9.140625" style="229"/>
    <col min="9760" max="9764" width="0" style="229" hidden="1" customWidth="1"/>
    <col min="9765" max="9984" width="9.140625" style="229"/>
    <col min="9985" max="9985" width="3.7109375" style="229" customWidth="1"/>
    <col min="9986" max="9986" width="3.28515625" style="229" customWidth="1"/>
    <col min="9987" max="9987" width="4.140625" style="229" customWidth="1"/>
    <col min="9988" max="9988" width="20.7109375" style="229" customWidth="1"/>
    <col min="9989" max="9989" width="9.28515625" style="229" customWidth="1"/>
    <col min="9990" max="9990" width="10" style="229" customWidth="1"/>
    <col min="9991" max="9991" width="8.7109375" style="229" customWidth="1"/>
    <col min="9992" max="9992" width="10.140625" style="229" customWidth="1"/>
    <col min="9993" max="9993" width="8.85546875" style="229" customWidth="1"/>
    <col min="9994" max="9995" width="9.5703125" style="229" customWidth="1"/>
    <col min="9996" max="9996" width="10.140625" style="229" customWidth="1"/>
    <col min="9997" max="9997" width="8.85546875" style="229" customWidth="1"/>
    <col min="9998" max="9999" width="9.5703125" style="229" customWidth="1"/>
    <col min="10000" max="10000" width="9.140625" style="229" customWidth="1"/>
    <col min="10001" max="10001" width="9.85546875" style="229" customWidth="1"/>
    <col min="10002" max="10002" width="21.5703125" style="229" customWidth="1"/>
    <col min="10003" max="10003" width="5.85546875" style="229" customWidth="1"/>
    <col min="10004" max="10004" width="6.7109375" style="229" customWidth="1"/>
    <col min="10005" max="10005" width="18.7109375" style="229" customWidth="1"/>
    <col min="10006" max="10014" width="0" style="229" hidden="1" customWidth="1"/>
    <col min="10015" max="10015" width="9.140625" style="229"/>
    <col min="10016" max="10020" width="0" style="229" hidden="1" customWidth="1"/>
    <col min="10021" max="10240" width="9.140625" style="229"/>
    <col min="10241" max="10241" width="3.7109375" style="229" customWidth="1"/>
    <col min="10242" max="10242" width="3.28515625" style="229" customWidth="1"/>
    <col min="10243" max="10243" width="4.140625" style="229" customWidth="1"/>
    <col min="10244" max="10244" width="20.7109375" style="229" customWidth="1"/>
    <col min="10245" max="10245" width="9.28515625" style="229" customWidth="1"/>
    <col min="10246" max="10246" width="10" style="229" customWidth="1"/>
    <col min="10247" max="10247" width="8.7109375" style="229" customWidth="1"/>
    <col min="10248" max="10248" width="10.140625" style="229" customWidth="1"/>
    <col min="10249" max="10249" width="8.85546875" style="229" customWidth="1"/>
    <col min="10250" max="10251" width="9.5703125" style="229" customWidth="1"/>
    <col min="10252" max="10252" width="10.140625" style="229" customWidth="1"/>
    <col min="10253" max="10253" width="8.85546875" style="229" customWidth="1"/>
    <col min="10254" max="10255" width="9.5703125" style="229" customWidth="1"/>
    <col min="10256" max="10256" width="9.140625" style="229" customWidth="1"/>
    <col min="10257" max="10257" width="9.85546875" style="229" customWidth="1"/>
    <col min="10258" max="10258" width="21.5703125" style="229" customWidth="1"/>
    <col min="10259" max="10259" width="5.85546875" style="229" customWidth="1"/>
    <col min="10260" max="10260" width="6.7109375" style="229" customWidth="1"/>
    <col min="10261" max="10261" width="18.7109375" style="229" customWidth="1"/>
    <col min="10262" max="10270" width="0" style="229" hidden="1" customWidth="1"/>
    <col min="10271" max="10271" width="9.140625" style="229"/>
    <col min="10272" max="10276" width="0" style="229" hidden="1" customWidth="1"/>
    <col min="10277" max="10496" width="9.140625" style="229"/>
    <col min="10497" max="10497" width="3.7109375" style="229" customWidth="1"/>
    <col min="10498" max="10498" width="3.28515625" style="229" customWidth="1"/>
    <col min="10499" max="10499" width="4.140625" style="229" customWidth="1"/>
    <col min="10500" max="10500" width="20.7109375" style="229" customWidth="1"/>
    <col min="10501" max="10501" width="9.28515625" style="229" customWidth="1"/>
    <col min="10502" max="10502" width="10" style="229" customWidth="1"/>
    <col min="10503" max="10503" width="8.7109375" style="229" customWidth="1"/>
    <col min="10504" max="10504" width="10.140625" style="229" customWidth="1"/>
    <col min="10505" max="10505" width="8.85546875" style="229" customWidth="1"/>
    <col min="10506" max="10507" width="9.5703125" style="229" customWidth="1"/>
    <col min="10508" max="10508" width="10.140625" style="229" customWidth="1"/>
    <col min="10509" max="10509" width="8.85546875" style="229" customWidth="1"/>
    <col min="10510" max="10511" width="9.5703125" style="229" customWidth="1"/>
    <col min="10512" max="10512" width="9.140625" style="229" customWidth="1"/>
    <col min="10513" max="10513" width="9.85546875" style="229" customWidth="1"/>
    <col min="10514" max="10514" width="21.5703125" style="229" customWidth="1"/>
    <col min="10515" max="10515" width="5.85546875" style="229" customWidth="1"/>
    <col min="10516" max="10516" width="6.7109375" style="229" customWidth="1"/>
    <col min="10517" max="10517" width="18.7109375" style="229" customWidth="1"/>
    <col min="10518" max="10526" width="0" style="229" hidden="1" customWidth="1"/>
    <col min="10527" max="10527" width="9.140625" style="229"/>
    <col min="10528" max="10532" width="0" style="229" hidden="1" customWidth="1"/>
    <col min="10533" max="10752" width="9.140625" style="229"/>
    <col min="10753" max="10753" width="3.7109375" style="229" customWidth="1"/>
    <col min="10754" max="10754" width="3.28515625" style="229" customWidth="1"/>
    <col min="10755" max="10755" width="4.140625" style="229" customWidth="1"/>
    <col min="10756" max="10756" width="20.7109375" style="229" customWidth="1"/>
    <col min="10757" max="10757" width="9.28515625" style="229" customWidth="1"/>
    <col min="10758" max="10758" width="10" style="229" customWidth="1"/>
    <col min="10759" max="10759" width="8.7109375" style="229" customWidth="1"/>
    <col min="10760" max="10760" width="10.140625" style="229" customWidth="1"/>
    <col min="10761" max="10761" width="8.85546875" style="229" customWidth="1"/>
    <col min="10762" max="10763" width="9.5703125" style="229" customWidth="1"/>
    <col min="10764" max="10764" width="10.140625" style="229" customWidth="1"/>
    <col min="10765" max="10765" width="8.85546875" style="229" customWidth="1"/>
    <col min="10766" max="10767" width="9.5703125" style="229" customWidth="1"/>
    <col min="10768" max="10768" width="9.140625" style="229" customWidth="1"/>
    <col min="10769" max="10769" width="9.85546875" style="229" customWidth="1"/>
    <col min="10770" max="10770" width="21.5703125" style="229" customWidth="1"/>
    <col min="10771" max="10771" width="5.85546875" style="229" customWidth="1"/>
    <col min="10772" max="10772" width="6.7109375" style="229" customWidth="1"/>
    <col min="10773" max="10773" width="18.7109375" style="229" customWidth="1"/>
    <col min="10774" max="10782" width="0" style="229" hidden="1" customWidth="1"/>
    <col min="10783" max="10783" width="9.140625" style="229"/>
    <col min="10784" max="10788" width="0" style="229" hidden="1" customWidth="1"/>
    <col min="10789" max="11008" width="9.140625" style="229"/>
    <col min="11009" max="11009" width="3.7109375" style="229" customWidth="1"/>
    <col min="11010" max="11010" width="3.28515625" style="229" customWidth="1"/>
    <col min="11011" max="11011" width="4.140625" style="229" customWidth="1"/>
    <col min="11012" max="11012" width="20.7109375" style="229" customWidth="1"/>
    <col min="11013" max="11013" width="9.28515625" style="229" customWidth="1"/>
    <col min="11014" max="11014" width="10" style="229" customWidth="1"/>
    <col min="11015" max="11015" width="8.7109375" style="229" customWidth="1"/>
    <col min="11016" max="11016" width="10.140625" style="229" customWidth="1"/>
    <col min="11017" max="11017" width="8.85546875" style="229" customWidth="1"/>
    <col min="11018" max="11019" width="9.5703125" style="229" customWidth="1"/>
    <col min="11020" max="11020" width="10.140625" style="229" customWidth="1"/>
    <col min="11021" max="11021" width="8.85546875" style="229" customWidth="1"/>
    <col min="11022" max="11023" width="9.5703125" style="229" customWidth="1"/>
    <col min="11024" max="11024" width="9.140625" style="229" customWidth="1"/>
    <col min="11025" max="11025" width="9.85546875" style="229" customWidth="1"/>
    <col min="11026" max="11026" width="21.5703125" style="229" customWidth="1"/>
    <col min="11027" max="11027" width="5.85546875" style="229" customWidth="1"/>
    <col min="11028" max="11028" width="6.7109375" style="229" customWidth="1"/>
    <col min="11029" max="11029" width="18.7109375" style="229" customWidth="1"/>
    <col min="11030" max="11038" width="0" style="229" hidden="1" customWidth="1"/>
    <col min="11039" max="11039" width="9.140625" style="229"/>
    <col min="11040" max="11044" width="0" style="229" hidden="1" customWidth="1"/>
    <col min="11045" max="11264" width="9.140625" style="229"/>
    <col min="11265" max="11265" width="3.7109375" style="229" customWidth="1"/>
    <col min="11266" max="11266" width="3.28515625" style="229" customWidth="1"/>
    <col min="11267" max="11267" width="4.140625" style="229" customWidth="1"/>
    <col min="11268" max="11268" width="20.7109375" style="229" customWidth="1"/>
    <col min="11269" max="11269" width="9.28515625" style="229" customWidth="1"/>
    <col min="11270" max="11270" width="10" style="229" customWidth="1"/>
    <col min="11271" max="11271" width="8.7109375" style="229" customWidth="1"/>
    <col min="11272" max="11272" width="10.140625" style="229" customWidth="1"/>
    <col min="11273" max="11273" width="8.85546875" style="229" customWidth="1"/>
    <col min="11274" max="11275" width="9.5703125" style="229" customWidth="1"/>
    <col min="11276" max="11276" width="10.140625" style="229" customWidth="1"/>
    <col min="11277" max="11277" width="8.85546875" style="229" customWidth="1"/>
    <col min="11278" max="11279" width="9.5703125" style="229" customWidth="1"/>
    <col min="11280" max="11280" width="9.140625" style="229" customWidth="1"/>
    <col min="11281" max="11281" width="9.85546875" style="229" customWidth="1"/>
    <col min="11282" max="11282" width="21.5703125" style="229" customWidth="1"/>
    <col min="11283" max="11283" width="5.85546875" style="229" customWidth="1"/>
    <col min="11284" max="11284" width="6.7109375" style="229" customWidth="1"/>
    <col min="11285" max="11285" width="18.7109375" style="229" customWidth="1"/>
    <col min="11286" max="11294" width="0" style="229" hidden="1" customWidth="1"/>
    <col min="11295" max="11295" width="9.140625" style="229"/>
    <col min="11296" max="11300" width="0" style="229" hidden="1" customWidth="1"/>
    <col min="11301" max="11520" width="9.140625" style="229"/>
    <col min="11521" max="11521" width="3.7109375" style="229" customWidth="1"/>
    <col min="11522" max="11522" width="3.28515625" style="229" customWidth="1"/>
    <col min="11523" max="11523" width="4.140625" style="229" customWidth="1"/>
    <col min="11524" max="11524" width="20.7109375" style="229" customWidth="1"/>
    <col min="11525" max="11525" width="9.28515625" style="229" customWidth="1"/>
    <col min="11526" max="11526" width="10" style="229" customWidth="1"/>
    <col min="11527" max="11527" width="8.7109375" style="229" customWidth="1"/>
    <col min="11528" max="11528" width="10.140625" style="229" customWidth="1"/>
    <col min="11529" max="11529" width="8.85546875" style="229" customWidth="1"/>
    <col min="11530" max="11531" width="9.5703125" style="229" customWidth="1"/>
    <col min="11532" max="11532" width="10.140625" style="229" customWidth="1"/>
    <col min="11533" max="11533" width="8.85546875" style="229" customWidth="1"/>
    <col min="11534" max="11535" width="9.5703125" style="229" customWidth="1"/>
    <col min="11536" max="11536" width="9.140625" style="229" customWidth="1"/>
    <col min="11537" max="11537" width="9.85546875" style="229" customWidth="1"/>
    <col min="11538" max="11538" width="21.5703125" style="229" customWidth="1"/>
    <col min="11539" max="11539" width="5.85546875" style="229" customWidth="1"/>
    <col min="11540" max="11540" width="6.7109375" style="229" customWidth="1"/>
    <col min="11541" max="11541" width="18.7109375" style="229" customWidth="1"/>
    <col min="11542" max="11550" width="0" style="229" hidden="1" customWidth="1"/>
    <col min="11551" max="11551" width="9.140625" style="229"/>
    <col min="11552" max="11556" width="0" style="229" hidden="1" customWidth="1"/>
    <col min="11557" max="11776" width="9.140625" style="229"/>
    <col min="11777" max="11777" width="3.7109375" style="229" customWidth="1"/>
    <col min="11778" max="11778" width="3.28515625" style="229" customWidth="1"/>
    <col min="11779" max="11779" width="4.140625" style="229" customWidth="1"/>
    <col min="11780" max="11780" width="20.7109375" style="229" customWidth="1"/>
    <col min="11781" max="11781" width="9.28515625" style="229" customWidth="1"/>
    <col min="11782" max="11782" width="10" style="229" customWidth="1"/>
    <col min="11783" max="11783" width="8.7109375" style="229" customWidth="1"/>
    <col min="11784" max="11784" width="10.140625" style="229" customWidth="1"/>
    <col min="11785" max="11785" width="8.85546875" style="229" customWidth="1"/>
    <col min="11786" max="11787" width="9.5703125" style="229" customWidth="1"/>
    <col min="11788" max="11788" width="10.140625" style="229" customWidth="1"/>
    <col min="11789" max="11789" width="8.85546875" style="229" customWidth="1"/>
    <col min="11790" max="11791" width="9.5703125" style="229" customWidth="1"/>
    <col min="11792" max="11792" width="9.140625" style="229" customWidth="1"/>
    <col min="11793" max="11793" width="9.85546875" style="229" customWidth="1"/>
    <col min="11794" max="11794" width="21.5703125" style="229" customWidth="1"/>
    <col min="11795" max="11795" width="5.85546875" style="229" customWidth="1"/>
    <col min="11796" max="11796" width="6.7109375" style="229" customWidth="1"/>
    <col min="11797" max="11797" width="18.7109375" style="229" customWidth="1"/>
    <col min="11798" max="11806" width="0" style="229" hidden="1" customWidth="1"/>
    <col min="11807" max="11807" width="9.140625" style="229"/>
    <col min="11808" max="11812" width="0" style="229" hidden="1" customWidth="1"/>
    <col min="11813" max="12032" width="9.140625" style="229"/>
    <col min="12033" max="12033" width="3.7109375" style="229" customWidth="1"/>
    <col min="12034" max="12034" width="3.28515625" style="229" customWidth="1"/>
    <col min="12035" max="12035" width="4.140625" style="229" customWidth="1"/>
    <col min="12036" max="12036" width="20.7109375" style="229" customWidth="1"/>
    <col min="12037" max="12037" width="9.28515625" style="229" customWidth="1"/>
    <col min="12038" max="12038" width="10" style="229" customWidth="1"/>
    <col min="12039" max="12039" width="8.7109375" style="229" customWidth="1"/>
    <col min="12040" max="12040" width="10.140625" style="229" customWidth="1"/>
    <col min="12041" max="12041" width="8.85546875" style="229" customWidth="1"/>
    <col min="12042" max="12043" width="9.5703125" style="229" customWidth="1"/>
    <col min="12044" max="12044" width="10.140625" style="229" customWidth="1"/>
    <col min="12045" max="12045" width="8.85546875" style="229" customWidth="1"/>
    <col min="12046" max="12047" width="9.5703125" style="229" customWidth="1"/>
    <col min="12048" max="12048" width="9.140625" style="229" customWidth="1"/>
    <col min="12049" max="12049" width="9.85546875" style="229" customWidth="1"/>
    <col min="12050" max="12050" width="21.5703125" style="229" customWidth="1"/>
    <col min="12051" max="12051" width="5.85546875" style="229" customWidth="1"/>
    <col min="12052" max="12052" width="6.7109375" style="229" customWidth="1"/>
    <col min="12053" max="12053" width="18.7109375" style="229" customWidth="1"/>
    <col min="12054" max="12062" width="0" style="229" hidden="1" customWidth="1"/>
    <col min="12063" max="12063" width="9.140625" style="229"/>
    <col min="12064" max="12068" width="0" style="229" hidden="1" customWidth="1"/>
    <col min="12069" max="12288" width="9.140625" style="229"/>
    <col min="12289" max="12289" width="3.7109375" style="229" customWidth="1"/>
    <col min="12290" max="12290" width="3.28515625" style="229" customWidth="1"/>
    <col min="12291" max="12291" width="4.140625" style="229" customWidth="1"/>
    <col min="12292" max="12292" width="20.7109375" style="229" customWidth="1"/>
    <col min="12293" max="12293" width="9.28515625" style="229" customWidth="1"/>
    <col min="12294" max="12294" width="10" style="229" customWidth="1"/>
    <col min="12295" max="12295" width="8.7109375" style="229" customWidth="1"/>
    <col min="12296" max="12296" width="10.140625" style="229" customWidth="1"/>
    <col min="12297" max="12297" width="8.85546875" style="229" customWidth="1"/>
    <col min="12298" max="12299" width="9.5703125" style="229" customWidth="1"/>
    <col min="12300" max="12300" width="10.140625" style="229" customWidth="1"/>
    <col min="12301" max="12301" width="8.85546875" style="229" customWidth="1"/>
    <col min="12302" max="12303" width="9.5703125" style="229" customWidth="1"/>
    <col min="12304" max="12304" width="9.140625" style="229" customWidth="1"/>
    <col min="12305" max="12305" width="9.85546875" style="229" customWidth="1"/>
    <col min="12306" max="12306" width="21.5703125" style="229" customWidth="1"/>
    <col min="12307" max="12307" width="5.85546875" style="229" customWidth="1"/>
    <col min="12308" max="12308" width="6.7109375" style="229" customWidth="1"/>
    <col min="12309" max="12309" width="18.7109375" style="229" customWidth="1"/>
    <col min="12310" max="12318" width="0" style="229" hidden="1" customWidth="1"/>
    <col min="12319" max="12319" width="9.140625" style="229"/>
    <col min="12320" max="12324" width="0" style="229" hidden="1" customWidth="1"/>
    <col min="12325" max="12544" width="9.140625" style="229"/>
    <col min="12545" max="12545" width="3.7109375" style="229" customWidth="1"/>
    <col min="12546" max="12546" width="3.28515625" style="229" customWidth="1"/>
    <col min="12547" max="12547" width="4.140625" style="229" customWidth="1"/>
    <col min="12548" max="12548" width="20.7109375" style="229" customWidth="1"/>
    <col min="12549" max="12549" width="9.28515625" style="229" customWidth="1"/>
    <col min="12550" max="12550" width="10" style="229" customWidth="1"/>
    <col min="12551" max="12551" width="8.7109375" style="229" customWidth="1"/>
    <col min="12552" max="12552" width="10.140625" style="229" customWidth="1"/>
    <col min="12553" max="12553" width="8.85546875" style="229" customWidth="1"/>
    <col min="12554" max="12555" width="9.5703125" style="229" customWidth="1"/>
    <col min="12556" max="12556" width="10.140625" style="229" customWidth="1"/>
    <col min="12557" max="12557" width="8.85546875" style="229" customWidth="1"/>
    <col min="12558" max="12559" width="9.5703125" style="229" customWidth="1"/>
    <col min="12560" max="12560" width="9.140625" style="229" customWidth="1"/>
    <col min="12561" max="12561" width="9.85546875" style="229" customWidth="1"/>
    <col min="12562" max="12562" width="21.5703125" style="229" customWidth="1"/>
    <col min="12563" max="12563" width="5.85546875" style="229" customWidth="1"/>
    <col min="12564" max="12564" width="6.7109375" style="229" customWidth="1"/>
    <col min="12565" max="12565" width="18.7109375" style="229" customWidth="1"/>
    <col min="12566" max="12574" width="0" style="229" hidden="1" customWidth="1"/>
    <col min="12575" max="12575" width="9.140625" style="229"/>
    <col min="12576" max="12580" width="0" style="229" hidden="1" customWidth="1"/>
    <col min="12581" max="12800" width="9.140625" style="229"/>
    <col min="12801" max="12801" width="3.7109375" style="229" customWidth="1"/>
    <col min="12802" max="12802" width="3.28515625" style="229" customWidth="1"/>
    <col min="12803" max="12803" width="4.140625" style="229" customWidth="1"/>
    <col min="12804" max="12804" width="20.7109375" style="229" customWidth="1"/>
    <col min="12805" max="12805" width="9.28515625" style="229" customWidth="1"/>
    <col min="12806" max="12806" width="10" style="229" customWidth="1"/>
    <col min="12807" max="12807" width="8.7109375" style="229" customWidth="1"/>
    <col min="12808" max="12808" width="10.140625" style="229" customWidth="1"/>
    <col min="12809" max="12809" width="8.85546875" style="229" customWidth="1"/>
    <col min="12810" max="12811" width="9.5703125" style="229" customWidth="1"/>
    <col min="12812" max="12812" width="10.140625" style="229" customWidth="1"/>
    <col min="12813" max="12813" width="8.85546875" style="229" customWidth="1"/>
    <col min="12814" max="12815" width="9.5703125" style="229" customWidth="1"/>
    <col min="12816" max="12816" width="9.140625" style="229" customWidth="1"/>
    <col min="12817" max="12817" width="9.85546875" style="229" customWidth="1"/>
    <col min="12818" max="12818" width="21.5703125" style="229" customWidth="1"/>
    <col min="12819" max="12819" width="5.85546875" style="229" customWidth="1"/>
    <col min="12820" max="12820" width="6.7109375" style="229" customWidth="1"/>
    <col min="12821" max="12821" width="18.7109375" style="229" customWidth="1"/>
    <col min="12822" max="12830" width="0" style="229" hidden="1" customWidth="1"/>
    <col min="12831" max="12831" width="9.140625" style="229"/>
    <col min="12832" max="12836" width="0" style="229" hidden="1" customWidth="1"/>
    <col min="12837" max="13056" width="9.140625" style="229"/>
    <col min="13057" max="13057" width="3.7109375" style="229" customWidth="1"/>
    <col min="13058" max="13058" width="3.28515625" style="229" customWidth="1"/>
    <col min="13059" max="13059" width="4.140625" style="229" customWidth="1"/>
    <col min="13060" max="13060" width="20.7109375" style="229" customWidth="1"/>
    <col min="13061" max="13061" width="9.28515625" style="229" customWidth="1"/>
    <col min="13062" max="13062" width="10" style="229" customWidth="1"/>
    <col min="13063" max="13063" width="8.7109375" style="229" customWidth="1"/>
    <col min="13064" max="13064" width="10.140625" style="229" customWidth="1"/>
    <col min="13065" max="13065" width="8.85546875" style="229" customWidth="1"/>
    <col min="13066" max="13067" width="9.5703125" style="229" customWidth="1"/>
    <col min="13068" max="13068" width="10.140625" style="229" customWidth="1"/>
    <col min="13069" max="13069" width="8.85546875" style="229" customWidth="1"/>
    <col min="13070" max="13071" width="9.5703125" style="229" customWidth="1"/>
    <col min="13072" max="13072" width="9.140625" style="229" customWidth="1"/>
    <col min="13073" max="13073" width="9.85546875" style="229" customWidth="1"/>
    <col min="13074" max="13074" width="21.5703125" style="229" customWidth="1"/>
    <col min="13075" max="13075" width="5.85546875" style="229" customWidth="1"/>
    <col min="13076" max="13076" width="6.7109375" style="229" customWidth="1"/>
    <col min="13077" max="13077" width="18.7109375" style="229" customWidth="1"/>
    <col min="13078" max="13086" width="0" style="229" hidden="1" customWidth="1"/>
    <col min="13087" max="13087" width="9.140625" style="229"/>
    <col min="13088" max="13092" width="0" style="229" hidden="1" customWidth="1"/>
    <col min="13093" max="13312" width="9.140625" style="229"/>
    <col min="13313" max="13313" width="3.7109375" style="229" customWidth="1"/>
    <col min="13314" max="13314" width="3.28515625" style="229" customWidth="1"/>
    <col min="13315" max="13315" width="4.140625" style="229" customWidth="1"/>
    <col min="13316" max="13316" width="20.7109375" style="229" customWidth="1"/>
    <col min="13317" max="13317" width="9.28515625" style="229" customWidth="1"/>
    <col min="13318" max="13318" width="10" style="229" customWidth="1"/>
    <col min="13319" max="13319" width="8.7109375" style="229" customWidth="1"/>
    <col min="13320" max="13320" width="10.140625" style="229" customWidth="1"/>
    <col min="13321" max="13321" width="8.85546875" style="229" customWidth="1"/>
    <col min="13322" max="13323" width="9.5703125" style="229" customWidth="1"/>
    <col min="13324" max="13324" width="10.140625" style="229" customWidth="1"/>
    <col min="13325" max="13325" width="8.85546875" style="229" customWidth="1"/>
    <col min="13326" max="13327" width="9.5703125" style="229" customWidth="1"/>
    <col min="13328" max="13328" width="9.140625" style="229" customWidth="1"/>
    <col min="13329" max="13329" width="9.85546875" style="229" customWidth="1"/>
    <col min="13330" max="13330" width="21.5703125" style="229" customWidth="1"/>
    <col min="13331" max="13331" width="5.85546875" style="229" customWidth="1"/>
    <col min="13332" max="13332" width="6.7109375" style="229" customWidth="1"/>
    <col min="13333" max="13333" width="18.7109375" style="229" customWidth="1"/>
    <col min="13334" max="13342" width="0" style="229" hidden="1" customWidth="1"/>
    <col min="13343" max="13343" width="9.140625" style="229"/>
    <col min="13344" max="13348" width="0" style="229" hidden="1" customWidth="1"/>
    <col min="13349" max="13568" width="9.140625" style="229"/>
    <col min="13569" max="13569" width="3.7109375" style="229" customWidth="1"/>
    <col min="13570" max="13570" width="3.28515625" style="229" customWidth="1"/>
    <col min="13571" max="13571" width="4.140625" style="229" customWidth="1"/>
    <col min="13572" max="13572" width="20.7109375" style="229" customWidth="1"/>
    <col min="13573" max="13573" width="9.28515625" style="229" customWidth="1"/>
    <col min="13574" max="13574" width="10" style="229" customWidth="1"/>
    <col min="13575" max="13575" width="8.7109375" style="229" customWidth="1"/>
    <col min="13576" max="13576" width="10.140625" style="229" customWidth="1"/>
    <col min="13577" max="13577" width="8.85546875" style="229" customWidth="1"/>
    <col min="13578" max="13579" width="9.5703125" style="229" customWidth="1"/>
    <col min="13580" max="13580" width="10.140625" style="229" customWidth="1"/>
    <col min="13581" max="13581" width="8.85546875" style="229" customWidth="1"/>
    <col min="13582" max="13583" width="9.5703125" style="229" customWidth="1"/>
    <col min="13584" max="13584" width="9.140625" style="229" customWidth="1"/>
    <col min="13585" max="13585" width="9.85546875" style="229" customWidth="1"/>
    <col min="13586" max="13586" width="21.5703125" style="229" customWidth="1"/>
    <col min="13587" max="13587" width="5.85546875" style="229" customWidth="1"/>
    <col min="13588" max="13588" width="6.7109375" style="229" customWidth="1"/>
    <col min="13589" max="13589" width="18.7109375" style="229" customWidth="1"/>
    <col min="13590" max="13598" width="0" style="229" hidden="1" customWidth="1"/>
    <col min="13599" max="13599" width="9.140625" style="229"/>
    <col min="13600" max="13604" width="0" style="229" hidden="1" customWidth="1"/>
    <col min="13605" max="13824" width="9.140625" style="229"/>
    <col min="13825" max="13825" width="3.7109375" style="229" customWidth="1"/>
    <col min="13826" max="13826" width="3.28515625" style="229" customWidth="1"/>
    <col min="13827" max="13827" width="4.140625" style="229" customWidth="1"/>
    <col min="13828" max="13828" width="20.7109375" style="229" customWidth="1"/>
    <col min="13829" max="13829" width="9.28515625" style="229" customWidth="1"/>
    <col min="13830" max="13830" width="10" style="229" customWidth="1"/>
    <col min="13831" max="13831" width="8.7109375" style="229" customWidth="1"/>
    <col min="13832" max="13832" width="10.140625" style="229" customWidth="1"/>
    <col min="13833" max="13833" width="8.85546875" style="229" customWidth="1"/>
    <col min="13834" max="13835" width="9.5703125" style="229" customWidth="1"/>
    <col min="13836" max="13836" width="10.140625" style="229" customWidth="1"/>
    <col min="13837" max="13837" width="8.85546875" style="229" customWidth="1"/>
    <col min="13838" max="13839" width="9.5703125" style="229" customWidth="1"/>
    <col min="13840" max="13840" width="9.140625" style="229" customWidth="1"/>
    <col min="13841" max="13841" width="9.85546875" style="229" customWidth="1"/>
    <col min="13842" max="13842" width="21.5703125" style="229" customWidth="1"/>
    <col min="13843" max="13843" width="5.85546875" style="229" customWidth="1"/>
    <col min="13844" max="13844" width="6.7109375" style="229" customWidth="1"/>
    <col min="13845" max="13845" width="18.7109375" style="229" customWidth="1"/>
    <col min="13846" max="13854" width="0" style="229" hidden="1" customWidth="1"/>
    <col min="13855" max="13855" width="9.140625" style="229"/>
    <col min="13856" max="13860" width="0" style="229" hidden="1" customWidth="1"/>
    <col min="13861" max="14080" width="9.140625" style="229"/>
    <col min="14081" max="14081" width="3.7109375" style="229" customWidth="1"/>
    <col min="14082" max="14082" width="3.28515625" style="229" customWidth="1"/>
    <col min="14083" max="14083" width="4.140625" style="229" customWidth="1"/>
    <col min="14084" max="14084" width="20.7109375" style="229" customWidth="1"/>
    <col min="14085" max="14085" width="9.28515625" style="229" customWidth="1"/>
    <col min="14086" max="14086" width="10" style="229" customWidth="1"/>
    <col min="14087" max="14087" width="8.7109375" style="229" customWidth="1"/>
    <col min="14088" max="14088" width="10.140625" style="229" customWidth="1"/>
    <col min="14089" max="14089" width="8.85546875" style="229" customWidth="1"/>
    <col min="14090" max="14091" width="9.5703125" style="229" customWidth="1"/>
    <col min="14092" max="14092" width="10.140625" style="229" customWidth="1"/>
    <col min="14093" max="14093" width="8.85546875" style="229" customWidth="1"/>
    <col min="14094" max="14095" width="9.5703125" style="229" customWidth="1"/>
    <col min="14096" max="14096" width="9.140625" style="229" customWidth="1"/>
    <col min="14097" max="14097" width="9.85546875" style="229" customWidth="1"/>
    <col min="14098" max="14098" width="21.5703125" style="229" customWidth="1"/>
    <col min="14099" max="14099" width="5.85546875" style="229" customWidth="1"/>
    <col min="14100" max="14100" width="6.7109375" style="229" customWidth="1"/>
    <col min="14101" max="14101" width="18.7109375" style="229" customWidth="1"/>
    <col min="14102" max="14110" width="0" style="229" hidden="1" customWidth="1"/>
    <col min="14111" max="14111" width="9.140625" style="229"/>
    <col min="14112" max="14116" width="0" style="229" hidden="1" customWidth="1"/>
    <col min="14117" max="14336" width="9.140625" style="229"/>
    <col min="14337" max="14337" width="3.7109375" style="229" customWidth="1"/>
    <col min="14338" max="14338" width="3.28515625" style="229" customWidth="1"/>
    <col min="14339" max="14339" width="4.140625" style="229" customWidth="1"/>
    <col min="14340" max="14340" width="20.7109375" style="229" customWidth="1"/>
    <col min="14341" max="14341" width="9.28515625" style="229" customWidth="1"/>
    <col min="14342" max="14342" width="10" style="229" customWidth="1"/>
    <col min="14343" max="14343" width="8.7109375" style="229" customWidth="1"/>
    <col min="14344" max="14344" width="10.140625" style="229" customWidth="1"/>
    <col min="14345" max="14345" width="8.85546875" style="229" customWidth="1"/>
    <col min="14346" max="14347" width="9.5703125" style="229" customWidth="1"/>
    <col min="14348" max="14348" width="10.140625" style="229" customWidth="1"/>
    <col min="14349" max="14349" width="8.85546875" style="229" customWidth="1"/>
    <col min="14350" max="14351" width="9.5703125" style="229" customWidth="1"/>
    <col min="14352" max="14352" width="9.140625" style="229" customWidth="1"/>
    <col min="14353" max="14353" width="9.85546875" style="229" customWidth="1"/>
    <col min="14354" max="14354" width="21.5703125" style="229" customWidth="1"/>
    <col min="14355" max="14355" width="5.85546875" style="229" customWidth="1"/>
    <col min="14356" max="14356" width="6.7109375" style="229" customWidth="1"/>
    <col min="14357" max="14357" width="18.7109375" style="229" customWidth="1"/>
    <col min="14358" max="14366" width="0" style="229" hidden="1" customWidth="1"/>
    <col min="14367" max="14367" width="9.140625" style="229"/>
    <col min="14368" max="14372" width="0" style="229" hidden="1" customWidth="1"/>
    <col min="14373" max="14592" width="9.140625" style="229"/>
    <col min="14593" max="14593" width="3.7109375" style="229" customWidth="1"/>
    <col min="14594" max="14594" width="3.28515625" style="229" customWidth="1"/>
    <col min="14595" max="14595" width="4.140625" style="229" customWidth="1"/>
    <col min="14596" max="14596" width="20.7109375" style="229" customWidth="1"/>
    <col min="14597" max="14597" width="9.28515625" style="229" customWidth="1"/>
    <col min="14598" max="14598" width="10" style="229" customWidth="1"/>
    <col min="14599" max="14599" width="8.7109375" style="229" customWidth="1"/>
    <col min="14600" max="14600" width="10.140625" style="229" customWidth="1"/>
    <col min="14601" max="14601" width="8.85546875" style="229" customWidth="1"/>
    <col min="14602" max="14603" width="9.5703125" style="229" customWidth="1"/>
    <col min="14604" max="14604" width="10.140625" style="229" customWidth="1"/>
    <col min="14605" max="14605" width="8.85546875" style="229" customWidth="1"/>
    <col min="14606" max="14607" width="9.5703125" style="229" customWidth="1"/>
    <col min="14608" max="14608" width="9.140625" style="229" customWidth="1"/>
    <col min="14609" max="14609" width="9.85546875" style="229" customWidth="1"/>
    <col min="14610" max="14610" width="21.5703125" style="229" customWidth="1"/>
    <col min="14611" max="14611" width="5.85546875" style="229" customWidth="1"/>
    <col min="14612" max="14612" width="6.7109375" style="229" customWidth="1"/>
    <col min="14613" max="14613" width="18.7109375" style="229" customWidth="1"/>
    <col min="14614" max="14622" width="0" style="229" hidden="1" customWidth="1"/>
    <col min="14623" max="14623" width="9.140625" style="229"/>
    <col min="14624" max="14628" width="0" style="229" hidden="1" customWidth="1"/>
    <col min="14629" max="14848" width="9.140625" style="229"/>
    <col min="14849" max="14849" width="3.7109375" style="229" customWidth="1"/>
    <col min="14850" max="14850" width="3.28515625" style="229" customWidth="1"/>
    <col min="14851" max="14851" width="4.140625" style="229" customWidth="1"/>
    <col min="14852" max="14852" width="20.7109375" style="229" customWidth="1"/>
    <col min="14853" max="14853" width="9.28515625" style="229" customWidth="1"/>
    <col min="14854" max="14854" width="10" style="229" customWidth="1"/>
    <col min="14855" max="14855" width="8.7109375" style="229" customWidth="1"/>
    <col min="14856" max="14856" width="10.140625" style="229" customWidth="1"/>
    <col min="14857" max="14857" width="8.85546875" style="229" customWidth="1"/>
    <col min="14858" max="14859" width="9.5703125" style="229" customWidth="1"/>
    <col min="14860" max="14860" width="10.140625" style="229" customWidth="1"/>
    <col min="14861" max="14861" width="8.85546875" style="229" customWidth="1"/>
    <col min="14862" max="14863" width="9.5703125" style="229" customWidth="1"/>
    <col min="14864" max="14864" width="9.140625" style="229" customWidth="1"/>
    <col min="14865" max="14865" width="9.85546875" style="229" customWidth="1"/>
    <col min="14866" max="14866" width="21.5703125" style="229" customWidth="1"/>
    <col min="14867" max="14867" width="5.85546875" style="229" customWidth="1"/>
    <col min="14868" max="14868" width="6.7109375" style="229" customWidth="1"/>
    <col min="14869" max="14869" width="18.7109375" style="229" customWidth="1"/>
    <col min="14870" max="14878" width="0" style="229" hidden="1" customWidth="1"/>
    <col min="14879" max="14879" width="9.140625" style="229"/>
    <col min="14880" max="14884" width="0" style="229" hidden="1" customWidth="1"/>
    <col min="14885" max="15104" width="9.140625" style="229"/>
    <col min="15105" max="15105" width="3.7109375" style="229" customWidth="1"/>
    <col min="15106" max="15106" width="3.28515625" style="229" customWidth="1"/>
    <col min="15107" max="15107" width="4.140625" style="229" customWidth="1"/>
    <col min="15108" max="15108" width="20.7109375" style="229" customWidth="1"/>
    <col min="15109" max="15109" width="9.28515625" style="229" customWidth="1"/>
    <col min="15110" max="15110" width="10" style="229" customWidth="1"/>
    <col min="15111" max="15111" width="8.7109375" style="229" customWidth="1"/>
    <col min="15112" max="15112" width="10.140625" style="229" customWidth="1"/>
    <col min="15113" max="15113" width="8.85546875" style="229" customWidth="1"/>
    <col min="15114" max="15115" width="9.5703125" style="229" customWidth="1"/>
    <col min="15116" max="15116" width="10.140625" style="229" customWidth="1"/>
    <col min="15117" max="15117" width="8.85546875" style="229" customWidth="1"/>
    <col min="15118" max="15119" width="9.5703125" style="229" customWidth="1"/>
    <col min="15120" max="15120" width="9.140625" style="229" customWidth="1"/>
    <col min="15121" max="15121" width="9.85546875" style="229" customWidth="1"/>
    <col min="15122" max="15122" width="21.5703125" style="229" customWidth="1"/>
    <col min="15123" max="15123" width="5.85546875" style="229" customWidth="1"/>
    <col min="15124" max="15124" width="6.7109375" style="229" customWidth="1"/>
    <col min="15125" max="15125" width="18.7109375" style="229" customWidth="1"/>
    <col min="15126" max="15134" width="0" style="229" hidden="1" customWidth="1"/>
    <col min="15135" max="15135" width="9.140625" style="229"/>
    <col min="15136" max="15140" width="0" style="229" hidden="1" customWidth="1"/>
    <col min="15141" max="15360" width="9.140625" style="229"/>
    <col min="15361" max="15361" width="3.7109375" style="229" customWidth="1"/>
    <col min="15362" max="15362" width="3.28515625" style="229" customWidth="1"/>
    <col min="15363" max="15363" width="4.140625" style="229" customWidth="1"/>
    <col min="15364" max="15364" width="20.7109375" style="229" customWidth="1"/>
    <col min="15365" max="15365" width="9.28515625" style="229" customWidth="1"/>
    <col min="15366" max="15366" width="10" style="229" customWidth="1"/>
    <col min="15367" max="15367" width="8.7109375" style="229" customWidth="1"/>
    <col min="15368" max="15368" width="10.140625" style="229" customWidth="1"/>
    <col min="15369" max="15369" width="8.85546875" style="229" customWidth="1"/>
    <col min="15370" max="15371" width="9.5703125" style="229" customWidth="1"/>
    <col min="15372" max="15372" width="10.140625" style="229" customWidth="1"/>
    <col min="15373" max="15373" width="8.85546875" style="229" customWidth="1"/>
    <col min="15374" max="15375" width="9.5703125" style="229" customWidth="1"/>
    <col min="15376" max="15376" width="9.140625" style="229" customWidth="1"/>
    <col min="15377" max="15377" width="9.85546875" style="229" customWidth="1"/>
    <col min="15378" max="15378" width="21.5703125" style="229" customWidth="1"/>
    <col min="15379" max="15379" width="5.85546875" style="229" customWidth="1"/>
    <col min="15380" max="15380" width="6.7109375" style="229" customWidth="1"/>
    <col min="15381" max="15381" width="18.7109375" style="229" customWidth="1"/>
    <col min="15382" max="15390" width="0" style="229" hidden="1" customWidth="1"/>
    <col min="15391" max="15391" width="9.140625" style="229"/>
    <col min="15392" max="15396" width="0" style="229" hidden="1" customWidth="1"/>
    <col min="15397" max="15616" width="9.140625" style="229"/>
    <col min="15617" max="15617" width="3.7109375" style="229" customWidth="1"/>
    <col min="15618" max="15618" width="3.28515625" style="229" customWidth="1"/>
    <col min="15619" max="15619" width="4.140625" style="229" customWidth="1"/>
    <col min="15620" max="15620" width="20.7109375" style="229" customWidth="1"/>
    <col min="15621" max="15621" width="9.28515625" style="229" customWidth="1"/>
    <col min="15622" max="15622" width="10" style="229" customWidth="1"/>
    <col min="15623" max="15623" width="8.7109375" style="229" customWidth="1"/>
    <col min="15624" max="15624" width="10.140625" style="229" customWidth="1"/>
    <col min="15625" max="15625" width="8.85546875" style="229" customWidth="1"/>
    <col min="15626" max="15627" width="9.5703125" style="229" customWidth="1"/>
    <col min="15628" max="15628" width="10.140625" style="229" customWidth="1"/>
    <col min="15629" max="15629" width="8.85546875" style="229" customWidth="1"/>
    <col min="15630" max="15631" width="9.5703125" style="229" customWidth="1"/>
    <col min="15632" max="15632" width="9.140625" style="229" customWidth="1"/>
    <col min="15633" max="15633" width="9.85546875" style="229" customWidth="1"/>
    <col min="15634" max="15634" width="21.5703125" style="229" customWidth="1"/>
    <col min="15635" max="15635" width="5.85546875" style="229" customWidth="1"/>
    <col min="15636" max="15636" width="6.7109375" style="229" customWidth="1"/>
    <col min="15637" max="15637" width="18.7109375" style="229" customWidth="1"/>
    <col min="15638" max="15646" width="0" style="229" hidden="1" customWidth="1"/>
    <col min="15647" max="15647" width="9.140625" style="229"/>
    <col min="15648" max="15652" width="0" style="229" hidden="1" customWidth="1"/>
    <col min="15653" max="15872" width="9.140625" style="229"/>
    <col min="15873" max="15873" width="3.7109375" style="229" customWidth="1"/>
    <col min="15874" max="15874" width="3.28515625" style="229" customWidth="1"/>
    <col min="15875" max="15875" width="4.140625" style="229" customWidth="1"/>
    <col min="15876" max="15876" width="20.7109375" style="229" customWidth="1"/>
    <col min="15877" max="15877" width="9.28515625" style="229" customWidth="1"/>
    <col min="15878" max="15878" width="10" style="229" customWidth="1"/>
    <col min="15879" max="15879" width="8.7109375" style="229" customWidth="1"/>
    <col min="15880" max="15880" width="10.140625" style="229" customWidth="1"/>
    <col min="15881" max="15881" width="8.85546875" style="229" customWidth="1"/>
    <col min="15882" max="15883" width="9.5703125" style="229" customWidth="1"/>
    <col min="15884" max="15884" width="10.140625" style="229" customWidth="1"/>
    <col min="15885" max="15885" width="8.85546875" style="229" customWidth="1"/>
    <col min="15886" max="15887" width="9.5703125" style="229" customWidth="1"/>
    <col min="15888" max="15888" width="9.140625" style="229" customWidth="1"/>
    <col min="15889" max="15889" width="9.85546875" style="229" customWidth="1"/>
    <col min="15890" max="15890" width="21.5703125" style="229" customWidth="1"/>
    <col min="15891" max="15891" width="5.85546875" style="229" customWidth="1"/>
    <col min="15892" max="15892" width="6.7109375" style="229" customWidth="1"/>
    <col min="15893" max="15893" width="18.7109375" style="229" customWidth="1"/>
    <col min="15894" max="15902" width="0" style="229" hidden="1" customWidth="1"/>
    <col min="15903" max="15903" width="9.140625" style="229"/>
    <col min="15904" max="15908" width="0" style="229" hidden="1" customWidth="1"/>
    <col min="15909" max="16128" width="9.140625" style="229"/>
    <col min="16129" max="16129" width="3.7109375" style="229" customWidth="1"/>
    <col min="16130" max="16130" width="3.28515625" style="229" customWidth="1"/>
    <col min="16131" max="16131" width="4.140625" style="229" customWidth="1"/>
    <col min="16132" max="16132" width="20.7109375" style="229" customWidth="1"/>
    <col min="16133" max="16133" width="9.28515625" style="229" customWidth="1"/>
    <col min="16134" max="16134" width="10" style="229" customWidth="1"/>
    <col min="16135" max="16135" width="8.7109375" style="229" customWidth="1"/>
    <col min="16136" max="16136" width="10.140625" style="229" customWidth="1"/>
    <col min="16137" max="16137" width="8.85546875" style="229" customWidth="1"/>
    <col min="16138" max="16139" width="9.5703125" style="229" customWidth="1"/>
    <col min="16140" max="16140" width="10.140625" style="229" customWidth="1"/>
    <col min="16141" max="16141" width="8.85546875" style="229" customWidth="1"/>
    <col min="16142" max="16143" width="9.5703125" style="229" customWidth="1"/>
    <col min="16144" max="16144" width="9.140625" style="229" customWidth="1"/>
    <col min="16145" max="16145" width="9.85546875" style="229" customWidth="1"/>
    <col min="16146" max="16146" width="21.5703125" style="229" customWidth="1"/>
    <col min="16147" max="16147" width="5.85546875" style="229" customWidth="1"/>
    <col min="16148" max="16148" width="6.7109375" style="229" customWidth="1"/>
    <col min="16149" max="16149" width="18.7109375" style="229" customWidth="1"/>
    <col min="16150" max="16158" width="0" style="229" hidden="1" customWidth="1"/>
    <col min="16159" max="16159" width="9.140625" style="229"/>
    <col min="16160" max="16164" width="0" style="229" hidden="1" customWidth="1"/>
    <col min="16165" max="16384" width="9.140625" style="229"/>
  </cols>
  <sheetData>
    <row r="1" spans="1:35" ht="40.5" customHeight="1" x14ac:dyDescent="0.2">
      <c r="R1" s="1254"/>
      <c r="S1" s="1254"/>
      <c r="T1" s="1254"/>
      <c r="U1" s="1254"/>
      <c r="V1" s="901"/>
    </row>
    <row r="2" spans="1:35" ht="15.75" customHeight="1" x14ac:dyDescent="0.2">
      <c r="A2" s="1255"/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  <c r="P2" s="1255"/>
      <c r="Q2" s="1255"/>
      <c r="R2" s="1255"/>
      <c r="S2" s="1255"/>
      <c r="T2" s="1255"/>
      <c r="U2" s="1255"/>
    </row>
    <row r="3" spans="1:35" s="232" customFormat="1" ht="13.5" customHeight="1" x14ac:dyDescent="0.2">
      <c r="A3" s="1256" t="s">
        <v>656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1256"/>
      <c r="T3" s="1256"/>
      <c r="U3" s="1256"/>
    </row>
    <row r="4" spans="1:35" s="742" customFormat="1" ht="12" x14ac:dyDescent="0.2">
      <c r="A4" s="1257"/>
      <c r="B4" s="1258"/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/>
      <c r="O4" s="1258"/>
      <c r="P4" s="1258"/>
      <c r="Q4" s="1258"/>
      <c r="R4" s="1258"/>
      <c r="S4" s="1258"/>
      <c r="T4" s="1258"/>
      <c r="U4" s="1258"/>
    </row>
    <row r="5" spans="1:35" s="232" customFormat="1" ht="14.25" customHeight="1" x14ac:dyDescent="0.2">
      <c r="A5" s="1259" t="s">
        <v>657</v>
      </c>
      <c r="B5" s="1259"/>
      <c r="C5" s="1259"/>
      <c r="D5" s="1259"/>
      <c r="E5" s="1259"/>
      <c r="F5" s="1259"/>
      <c r="G5" s="1259"/>
      <c r="H5" s="1259"/>
      <c r="I5" s="1259"/>
      <c r="J5" s="1259"/>
      <c r="K5" s="1259"/>
      <c r="L5" s="1259"/>
      <c r="M5" s="1259"/>
      <c r="N5" s="1259"/>
      <c r="O5" s="1259"/>
      <c r="P5" s="1259"/>
      <c r="Q5" s="1259"/>
      <c r="R5" s="1259"/>
      <c r="S5" s="1259"/>
      <c r="T5" s="1259"/>
      <c r="U5" s="1259"/>
    </row>
    <row r="6" spans="1:35" s="232" customFormat="1" ht="12" x14ac:dyDescent="0.2">
      <c r="A6" s="1259" t="s">
        <v>192</v>
      </c>
      <c r="B6" s="1259"/>
      <c r="C6" s="1259"/>
      <c r="D6" s="1259"/>
      <c r="E6" s="1259"/>
      <c r="F6" s="1259"/>
      <c r="G6" s="1259"/>
      <c r="H6" s="1259"/>
      <c r="I6" s="1259"/>
      <c r="J6" s="1259"/>
      <c r="K6" s="1259"/>
      <c r="L6" s="1259"/>
      <c r="M6" s="1259"/>
      <c r="N6" s="1259"/>
      <c r="O6" s="1259"/>
      <c r="P6" s="1259"/>
      <c r="Q6" s="1259"/>
      <c r="R6" s="1259"/>
      <c r="S6" s="1259"/>
      <c r="T6" s="1259"/>
      <c r="U6" s="1259"/>
    </row>
    <row r="7" spans="1:35" ht="12" thickBot="1" x14ac:dyDescent="0.25">
      <c r="A7" s="1261"/>
      <c r="B7" s="1262"/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3"/>
      <c r="S7" s="1263"/>
      <c r="T7" s="1263"/>
      <c r="U7" s="1263"/>
    </row>
    <row r="8" spans="1:35" ht="24" customHeight="1" x14ac:dyDescent="0.2">
      <c r="A8" s="1264" t="s">
        <v>0</v>
      </c>
      <c r="B8" s="1267" t="s">
        <v>1</v>
      </c>
      <c r="C8" s="1267" t="s">
        <v>2</v>
      </c>
      <c r="D8" s="1270" t="s">
        <v>3</v>
      </c>
      <c r="E8" s="1273" t="s">
        <v>4</v>
      </c>
      <c r="F8" s="1276" t="s">
        <v>5</v>
      </c>
      <c r="G8" s="1279" t="s">
        <v>6</v>
      </c>
      <c r="H8" s="1282" t="s">
        <v>658</v>
      </c>
      <c r="I8" s="1283"/>
      <c r="J8" s="1283"/>
      <c r="K8" s="1284"/>
      <c r="L8" s="1285" t="s">
        <v>659</v>
      </c>
      <c r="M8" s="1286"/>
      <c r="N8" s="1286"/>
      <c r="O8" s="1287"/>
      <c r="P8" s="1230" t="s">
        <v>173</v>
      </c>
      <c r="Q8" s="1233" t="s">
        <v>371</v>
      </c>
      <c r="R8" s="1236" t="s">
        <v>7</v>
      </c>
      <c r="S8" s="1237"/>
      <c r="T8" s="1237"/>
      <c r="U8" s="1238"/>
    </row>
    <row r="9" spans="1:35" ht="18" customHeight="1" x14ac:dyDescent="0.2">
      <c r="A9" s="1265"/>
      <c r="B9" s="1268"/>
      <c r="C9" s="1268"/>
      <c r="D9" s="1271"/>
      <c r="E9" s="1274"/>
      <c r="F9" s="1277"/>
      <c r="G9" s="1280"/>
      <c r="H9" s="1239" t="s">
        <v>8</v>
      </c>
      <c r="I9" s="1241" t="s">
        <v>9</v>
      </c>
      <c r="J9" s="1241"/>
      <c r="K9" s="1242" t="s">
        <v>10</v>
      </c>
      <c r="L9" s="1239" t="s">
        <v>8</v>
      </c>
      <c r="M9" s="1241" t="s">
        <v>9</v>
      </c>
      <c r="N9" s="1241"/>
      <c r="O9" s="1242" t="s">
        <v>10</v>
      </c>
      <c r="P9" s="1231"/>
      <c r="Q9" s="1234"/>
      <c r="R9" s="1244" t="s">
        <v>24</v>
      </c>
      <c r="S9" s="902" t="s">
        <v>11</v>
      </c>
      <c r="T9" s="902" t="s">
        <v>194</v>
      </c>
      <c r="U9" s="1288" t="s">
        <v>196</v>
      </c>
    </row>
    <row r="10" spans="1:35" ht="90.75" customHeight="1" thickBot="1" x14ac:dyDescent="0.25">
      <c r="A10" s="1266"/>
      <c r="B10" s="1269"/>
      <c r="C10" s="1269"/>
      <c r="D10" s="1272"/>
      <c r="E10" s="1275"/>
      <c r="F10" s="1278"/>
      <c r="G10" s="1281"/>
      <c r="H10" s="1240"/>
      <c r="I10" s="904" t="s">
        <v>8</v>
      </c>
      <c r="J10" s="904" t="s">
        <v>12</v>
      </c>
      <c r="K10" s="1243"/>
      <c r="L10" s="1240"/>
      <c r="M10" s="904" t="s">
        <v>8</v>
      </c>
      <c r="N10" s="904" t="s">
        <v>12</v>
      </c>
      <c r="O10" s="1243"/>
      <c r="P10" s="1232"/>
      <c r="Q10" s="1235"/>
      <c r="R10" s="1245"/>
      <c r="S10" s="746" t="s">
        <v>522</v>
      </c>
      <c r="T10" s="746" t="s">
        <v>523</v>
      </c>
      <c r="U10" s="1289"/>
    </row>
    <row r="11" spans="1:35" ht="15" customHeight="1" thickBot="1" x14ac:dyDescent="0.25">
      <c r="A11" s="1290" t="s">
        <v>660</v>
      </c>
      <c r="B11" s="1291"/>
      <c r="C11" s="1291"/>
      <c r="D11" s="1291"/>
      <c r="E11" s="1291"/>
      <c r="F11" s="1291"/>
      <c r="G11" s="1291"/>
      <c r="H11" s="1291"/>
      <c r="I11" s="1291"/>
      <c r="J11" s="1291"/>
      <c r="K11" s="1291"/>
      <c r="L11" s="1291"/>
      <c r="M11" s="1291"/>
      <c r="N11" s="1291"/>
      <c r="O11" s="1291"/>
      <c r="P11" s="1291"/>
      <c r="Q11" s="1291"/>
      <c r="R11" s="1292"/>
      <c r="S11" s="1292"/>
      <c r="T11" s="1292"/>
      <c r="U11" s="1293"/>
    </row>
    <row r="12" spans="1:35" ht="16.5" customHeight="1" thickBot="1" x14ac:dyDescent="0.25">
      <c r="A12" s="1222" t="s">
        <v>661</v>
      </c>
      <c r="B12" s="1223"/>
      <c r="C12" s="1223"/>
      <c r="D12" s="1223"/>
      <c r="E12" s="1223"/>
      <c r="F12" s="1223"/>
      <c r="G12" s="1223"/>
      <c r="H12" s="1223"/>
      <c r="I12" s="1223"/>
      <c r="J12" s="1223"/>
      <c r="K12" s="1223"/>
      <c r="L12" s="1223"/>
      <c r="M12" s="1223"/>
      <c r="N12" s="1223"/>
      <c r="O12" s="1223"/>
      <c r="P12" s="1223"/>
      <c r="Q12" s="1223"/>
      <c r="R12" s="1223"/>
      <c r="S12" s="1223"/>
      <c r="T12" s="1223"/>
      <c r="U12" s="1224"/>
    </row>
    <row r="13" spans="1:35" ht="14.25" customHeight="1" thickBot="1" x14ac:dyDescent="0.25">
      <c r="A13" s="696" t="s">
        <v>17</v>
      </c>
      <c r="B13" s="1225" t="s">
        <v>662</v>
      </c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1227"/>
    </row>
    <row r="14" spans="1:35" ht="15.75" customHeight="1" thickBot="1" x14ac:dyDescent="0.25">
      <c r="A14" s="663" t="s">
        <v>17</v>
      </c>
      <c r="B14" s="962" t="s">
        <v>17</v>
      </c>
      <c r="C14" s="1200" t="s">
        <v>663</v>
      </c>
      <c r="D14" s="1138"/>
      <c r="E14" s="1138"/>
      <c r="F14" s="1138"/>
      <c r="G14" s="1138"/>
      <c r="H14" s="1228"/>
      <c r="I14" s="1228"/>
      <c r="J14" s="1228"/>
      <c r="K14" s="1228"/>
      <c r="L14" s="1228"/>
      <c r="M14" s="1228"/>
      <c r="N14" s="1228"/>
      <c r="O14" s="1228"/>
      <c r="P14" s="1228"/>
      <c r="Q14" s="1228"/>
      <c r="R14" s="1138"/>
      <c r="S14" s="1228"/>
      <c r="T14" s="1228"/>
      <c r="U14" s="1229"/>
      <c r="W14" s="231"/>
    </row>
    <row r="15" spans="1:35" ht="24.75" customHeight="1" x14ac:dyDescent="0.2">
      <c r="A15" s="1124" t="s">
        <v>17</v>
      </c>
      <c r="B15" s="1126" t="s">
        <v>17</v>
      </c>
      <c r="C15" s="1128" t="s">
        <v>17</v>
      </c>
      <c r="D15" s="1162" t="s">
        <v>664</v>
      </c>
      <c r="E15" s="1152" t="s">
        <v>665</v>
      </c>
      <c r="F15" s="1246">
        <v>1</v>
      </c>
      <c r="G15" s="291" t="s">
        <v>224</v>
      </c>
      <c r="H15" s="978">
        <v>1269.5999999999999</v>
      </c>
      <c r="I15" s="979">
        <v>1221.5</v>
      </c>
      <c r="J15" s="979">
        <v>743.2</v>
      </c>
      <c r="K15" s="982">
        <v>48.1</v>
      </c>
      <c r="L15" s="978">
        <v>1240.7</v>
      </c>
      <c r="M15" s="979">
        <v>1192.7</v>
      </c>
      <c r="N15" s="979">
        <v>743.2</v>
      </c>
      <c r="O15" s="982">
        <v>48</v>
      </c>
      <c r="P15" s="1002">
        <v>1453.2</v>
      </c>
      <c r="Q15" s="1002">
        <v>1420</v>
      </c>
      <c r="R15" s="1249" t="s">
        <v>666</v>
      </c>
      <c r="S15" s="1251">
        <v>108.5</v>
      </c>
      <c r="T15" s="1251">
        <v>106</v>
      </c>
      <c r="U15" s="1251" t="s">
        <v>667</v>
      </c>
      <c r="V15" s="490"/>
      <c r="W15" s="490"/>
      <c r="X15" s="1003"/>
      <c r="Y15" s="490"/>
      <c r="Z15" s="490"/>
      <c r="AE15" s="1004"/>
    </row>
    <row r="16" spans="1:35" ht="35.25" customHeight="1" x14ac:dyDescent="0.2">
      <c r="A16" s="1159"/>
      <c r="B16" s="1160"/>
      <c r="C16" s="1194"/>
      <c r="D16" s="1163"/>
      <c r="E16" s="1164"/>
      <c r="F16" s="1247"/>
      <c r="G16" s="577" t="s">
        <v>226</v>
      </c>
      <c r="H16" s="975">
        <v>1.5</v>
      </c>
      <c r="I16" s="946">
        <v>1.5</v>
      </c>
      <c r="J16" s="946"/>
      <c r="K16" s="944"/>
      <c r="L16" s="971">
        <v>1.5</v>
      </c>
      <c r="M16" s="972">
        <v>1.5</v>
      </c>
      <c r="N16" s="972"/>
      <c r="O16" s="970"/>
      <c r="P16" s="1005">
        <v>1</v>
      </c>
      <c r="Q16" s="1005">
        <v>1</v>
      </c>
      <c r="R16" s="1214"/>
      <c r="S16" s="1252"/>
      <c r="T16" s="1252"/>
      <c r="U16" s="1252"/>
      <c r="X16" s="231"/>
      <c r="AE16" s="1004"/>
      <c r="AF16" s="231">
        <f>L15+L79+L81+L143+L190+L19+L77</f>
        <v>1647.5</v>
      </c>
      <c r="AG16" s="231">
        <f>M15+M79+M81+M143+M190+M19+M77</f>
        <v>1597.3</v>
      </c>
      <c r="AH16" s="231">
        <f>N15+N79+N81+N143+N190+N19+N77</f>
        <v>852.2</v>
      </c>
      <c r="AI16" s="231">
        <f>O15+O79+O81+O143+O190+O19+O77</f>
        <v>50.199999999999996</v>
      </c>
    </row>
    <row r="17" spans="1:35" ht="23.25" customHeight="1" thickBot="1" x14ac:dyDescent="0.25">
      <c r="A17" s="1159"/>
      <c r="B17" s="1160"/>
      <c r="C17" s="1194"/>
      <c r="D17" s="1163"/>
      <c r="E17" s="1164"/>
      <c r="F17" s="1247"/>
      <c r="G17" s="577" t="s">
        <v>73</v>
      </c>
      <c r="H17" s="975">
        <v>6.4</v>
      </c>
      <c r="I17" s="946">
        <v>6.4</v>
      </c>
      <c r="J17" s="946">
        <v>4.9000000000000004</v>
      </c>
      <c r="K17" s="944"/>
      <c r="L17" s="971">
        <v>6.4</v>
      </c>
      <c r="M17" s="972">
        <v>6.4</v>
      </c>
      <c r="N17" s="972">
        <v>4.9000000000000004</v>
      </c>
      <c r="O17" s="970"/>
      <c r="P17" s="1005"/>
      <c r="Q17" s="1005"/>
      <c r="R17" s="1214"/>
      <c r="S17" s="1253"/>
      <c r="T17" s="1253"/>
      <c r="U17" s="1253"/>
      <c r="X17" s="231"/>
      <c r="AE17" s="1004"/>
      <c r="AF17" s="231"/>
      <c r="AG17" s="231"/>
      <c r="AH17" s="231"/>
      <c r="AI17" s="231"/>
    </row>
    <row r="18" spans="1:35" ht="23.25" customHeight="1" x14ac:dyDescent="0.2">
      <c r="A18" s="1140"/>
      <c r="B18" s="1141"/>
      <c r="C18" s="1142"/>
      <c r="D18" s="1201"/>
      <c r="E18" s="1196"/>
      <c r="F18" s="1248"/>
      <c r="G18" s="580" t="s">
        <v>13</v>
      </c>
      <c r="H18" s="581">
        <f t="shared" ref="H18:O18" si="0">SUM(H15:H17)</f>
        <v>1277.5</v>
      </c>
      <c r="I18" s="282">
        <f t="shared" si="0"/>
        <v>1229.4000000000001</v>
      </c>
      <c r="J18" s="282">
        <f t="shared" si="0"/>
        <v>748.1</v>
      </c>
      <c r="K18" s="582">
        <f t="shared" si="0"/>
        <v>48.1</v>
      </c>
      <c r="L18" s="1006">
        <f t="shared" si="0"/>
        <v>1248.6000000000001</v>
      </c>
      <c r="M18" s="1007">
        <f t="shared" si="0"/>
        <v>1200.6000000000001</v>
      </c>
      <c r="N18" s="1007">
        <f t="shared" si="0"/>
        <v>748.1</v>
      </c>
      <c r="O18" s="1008">
        <f t="shared" si="0"/>
        <v>48</v>
      </c>
      <c r="P18" s="583">
        <f>SUM(P15:P16)</f>
        <v>1454.2</v>
      </c>
      <c r="Q18" s="583">
        <f>SUM(Q15:Q16)</f>
        <v>1421</v>
      </c>
      <c r="R18" s="1250"/>
      <c r="S18" s="670">
        <f>SUM(S15)</f>
        <v>108.5</v>
      </c>
      <c r="T18" s="1009">
        <f>SUM(T15)</f>
        <v>106</v>
      </c>
      <c r="U18" s="1010"/>
      <c r="W18" s="231">
        <f>I18+K18</f>
        <v>1277.5</v>
      </c>
      <c r="X18" s="927"/>
      <c r="Y18" s="927"/>
      <c r="Z18" s="927"/>
      <c r="AA18" s="927"/>
      <c r="AB18" s="1011"/>
      <c r="AC18" s="1011"/>
      <c r="AD18" s="1011"/>
      <c r="AE18" s="1012"/>
      <c r="AF18" s="490"/>
    </row>
    <row r="19" spans="1:35" ht="23.25" customHeight="1" x14ac:dyDescent="0.2">
      <c r="A19" s="1123" t="s">
        <v>17</v>
      </c>
      <c r="B19" s="1126" t="s">
        <v>17</v>
      </c>
      <c r="C19" s="1128" t="s">
        <v>18</v>
      </c>
      <c r="D19" s="1162" t="s">
        <v>668</v>
      </c>
      <c r="E19" s="1152" t="s">
        <v>669</v>
      </c>
      <c r="F19" s="1154" t="s">
        <v>17</v>
      </c>
      <c r="G19" s="291" t="s">
        <v>224</v>
      </c>
      <c r="H19" s="971">
        <v>156</v>
      </c>
      <c r="I19" s="972">
        <v>155.5</v>
      </c>
      <c r="J19" s="972">
        <v>110.3</v>
      </c>
      <c r="K19" s="970">
        <v>0.5</v>
      </c>
      <c r="L19" s="971">
        <v>148.69999999999999</v>
      </c>
      <c r="M19" s="972">
        <v>148.30000000000001</v>
      </c>
      <c r="N19" s="972">
        <v>109</v>
      </c>
      <c r="O19" s="970">
        <v>0.4</v>
      </c>
      <c r="P19" s="1005"/>
      <c r="Q19" s="1005"/>
      <c r="R19" s="1156" t="s">
        <v>670</v>
      </c>
      <c r="S19" s="975">
        <v>27</v>
      </c>
      <c r="T19" s="944">
        <v>27</v>
      </c>
      <c r="U19" s="1013"/>
      <c r="V19" s="1014"/>
      <c r="W19" s="1014"/>
      <c r="X19" s="231"/>
      <c r="AE19" s="1004"/>
    </row>
    <row r="20" spans="1:35" ht="20.25" customHeight="1" x14ac:dyDescent="0.2">
      <c r="A20" s="1124"/>
      <c r="B20" s="1160"/>
      <c r="C20" s="1194"/>
      <c r="D20" s="1163"/>
      <c r="E20" s="1164"/>
      <c r="F20" s="1165"/>
      <c r="G20" s="580" t="s">
        <v>13</v>
      </c>
      <c r="H20" s="581">
        <f>SUM(H19)</f>
        <v>156</v>
      </c>
      <c r="I20" s="282">
        <f>SUM(I19)</f>
        <v>155.5</v>
      </c>
      <c r="J20" s="282">
        <f>SUM(J19)</f>
        <v>110.3</v>
      </c>
      <c r="K20" s="582">
        <f>SUM(K19)</f>
        <v>0.5</v>
      </c>
      <c r="L20" s="1015">
        <f t="shared" ref="L20:Q20" si="1">SUM(L19)</f>
        <v>148.69999999999999</v>
      </c>
      <c r="M20" s="1007">
        <f t="shared" si="1"/>
        <v>148.30000000000001</v>
      </c>
      <c r="N20" s="1007">
        <f t="shared" si="1"/>
        <v>109</v>
      </c>
      <c r="O20" s="1016">
        <f t="shared" si="1"/>
        <v>0.4</v>
      </c>
      <c r="P20" s="583">
        <f t="shared" si="1"/>
        <v>0</v>
      </c>
      <c r="Q20" s="583">
        <f t="shared" si="1"/>
        <v>0</v>
      </c>
      <c r="R20" s="1158"/>
      <c r="S20" s="287">
        <f>SUM(S19)</f>
        <v>27</v>
      </c>
      <c r="T20" s="289">
        <f>SUM(T19)</f>
        <v>27</v>
      </c>
      <c r="U20" s="1017"/>
      <c r="V20" s="1014"/>
      <c r="W20" s="1014"/>
      <c r="X20" s="231"/>
      <c r="AE20" s="1004"/>
    </row>
    <row r="21" spans="1:35" ht="18" customHeight="1" x14ac:dyDescent="0.2">
      <c r="A21" s="1123" t="s">
        <v>17</v>
      </c>
      <c r="B21" s="1126" t="s">
        <v>17</v>
      </c>
      <c r="C21" s="1128" t="s">
        <v>19</v>
      </c>
      <c r="D21" s="1215" t="s">
        <v>671</v>
      </c>
      <c r="E21" s="1152" t="s">
        <v>672</v>
      </c>
      <c r="F21" s="1154" t="s">
        <v>229</v>
      </c>
      <c r="G21" s="291" t="s">
        <v>224</v>
      </c>
      <c r="H21" s="971">
        <v>53.9</v>
      </c>
      <c r="I21" s="972">
        <v>53.9</v>
      </c>
      <c r="J21" s="972">
        <v>37.799999999999997</v>
      </c>
      <c r="K21" s="980"/>
      <c r="L21" s="971">
        <v>49.4</v>
      </c>
      <c r="M21" s="972">
        <v>49.4</v>
      </c>
      <c r="N21" s="972">
        <v>37.1</v>
      </c>
      <c r="O21" s="970"/>
      <c r="P21" s="974">
        <v>68.5</v>
      </c>
      <c r="Q21" s="974">
        <v>70.599999999999994</v>
      </c>
      <c r="R21" s="1156" t="s">
        <v>673</v>
      </c>
      <c r="S21" s="975">
        <v>3</v>
      </c>
      <c r="T21" s="944">
        <v>2</v>
      </c>
      <c r="U21" s="1298" t="s">
        <v>674</v>
      </c>
      <c r="V21" s="1014"/>
      <c r="W21" s="1014"/>
      <c r="X21" s="231"/>
      <c r="AE21" s="1004"/>
      <c r="AH21" s="231">
        <f>AF16+L23+AF206</f>
        <v>2881</v>
      </c>
    </row>
    <row r="22" spans="1:35" ht="20.25" customHeight="1" x14ac:dyDescent="0.2">
      <c r="A22" s="1124"/>
      <c r="B22" s="1160"/>
      <c r="C22" s="1194"/>
      <c r="D22" s="1216"/>
      <c r="E22" s="1164"/>
      <c r="F22" s="1165"/>
      <c r="G22" s="580" t="s">
        <v>13</v>
      </c>
      <c r="H22" s="581">
        <f t="shared" ref="H22:Q22" si="2">SUM(H21)</f>
        <v>53.9</v>
      </c>
      <c r="I22" s="282">
        <f t="shared" si="2"/>
        <v>53.9</v>
      </c>
      <c r="J22" s="282">
        <f t="shared" si="2"/>
        <v>37.799999999999997</v>
      </c>
      <c r="K22" s="582">
        <f t="shared" si="2"/>
        <v>0</v>
      </c>
      <c r="L22" s="1015">
        <f t="shared" si="2"/>
        <v>49.4</v>
      </c>
      <c r="M22" s="1007">
        <f t="shared" si="2"/>
        <v>49.4</v>
      </c>
      <c r="N22" s="1007">
        <f t="shared" si="2"/>
        <v>37.1</v>
      </c>
      <c r="O22" s="1016">
        <f t="shared" si="2"/>
        <v>0</v>
      </c>
      <c r="P22" s="583">
        <f t="shared" si="2"/>
        <v>68.5</v>
      </c>
      <c r="Q22" s="583">
        <f t="shared" si="2"/>
        <v>70.599999999999994</v>
      </c>
      <c r="R22" s="1214"/>
      <c r="S22" s="287">
        <f>SUM(S21)</f>
        <v>3</v>
      </c>
      <c r="T22" s="289">
        <f>SUM(T21)</f>
        <v>2</v>
      </c>
      <c r="U22" s="1299"/>
      <c r="V22" s="1014"/>
      <c r="W22" s="1014"/>
      <c r="X22" s="231"/>
      <c r="AE22" s="1004"/>
    </row>
    <row r="23" spans="1:35" ht="21" customHeight="1" x14ac:dyDescent="0.2">
      <c r="A23" s="1124" t="s">
        <v>17</v>
      </c>
      <c r="B23" s="1126" t="s">
        <v>17</v>
      </c>
      <c r="C23" s="1150" t="s">
        <v>20</v>
      </c>
      <c r="D23" s="1220" t="s">
        <v>675</v>
      </c>
      <c r="E23" s="1132" t="s">
        <v>676</v>
      </c>
      <c r="F23" s="1208" t="s">
        <v>17</v>
      </c>
      <c r="G23" s="976" t="s">
        <v>224</v>
      </c>
      <c r="H23" s="592">
        <f>SUM(H27+H31+H35+H39+H43+H47+H51+H55)</f>
        <v>428.49999999999994</v>
      </c>
      <c r="I23" s="585">
        <f t="shared" ref="I23:Q23" si="3">SUM(I27+I31+I35+I39+I43+I47+I51+I55)</f>
        <v>421.40000000000003</v>
      </c>
      <c r="J23" s="585">
        <f t="shared" si="3"/>
        <v>280.10000000000002</v>
      </c>
      <c r="K23" s="1018">
        <f>SUM(K27+K31+K35+K39+K43+K47+K51+K55)</f>
        <v>7.0999999999999988</v>
      </c>
      <c r="L23" s="592">
        <f t="shared" si="3"/>
        <v>418.9</v>
      </c>
      <c r="M23" s="585">
        <f>SUM(M27+M31+M35+M39+M43+M47+M51+M55)</f>
        <v>414.29999999999995</v>
      </c>
      <c r="N23" s="585">
        <f t="shared" si="3"/>
        <v>294.60000000000002</v>
      </c>
      <c r="O23" s="1018">
        <f t="shared" si="3"/>
        <v>4.5999999999999988</v>
      </c>
      <c r="P23" s="592">
        <f t="shared" si="3"/>
        <v>617.70000000000005</v>
      </c>
      <c r="Q23" s="592">
        <f t="shared" si="3"/>
        <v>679.1</v>
      </c>
      <c r="R23" s="1213" t="s">
        <v>677</v>
      </c>
      <c r="S23" s="1294">
        <f>SUM(S27+S31+S35+S39+S43+S47+S51+S55)</f>
        <v>57</v>
      </c>
      <c r="T23" s="1294">
        <f>SUM(T27+T31+T35+T39+T43+T47+T51+T55)</f>
        <v>56</v>
      </c>
      <c r="U23" s="1217" t="s">
        <v>678</v>
      </c>
      <c r="V23" s="1014"/>
      <c r="W23" s="1019"/>
      <c r="X23" s="231"/>
      <c r="AE23" s="1004"/>
    </row>
    <row r="24" spans="1:35" ht="20.25" customHeight="1" x14ac:dyDescent="0.2">
      <c r="A24" s="1159"/>
      <c r="B24" s="1160"/>
      <c r="C24" s="1161"/>
      <c r="D24" s="1221"/>
      <c r="E24" s="1207"/>
      <c r="F24" s="1209"/>
      <c r="G24" s="976" t="s">
        <v>226</v>
      </c>
      <c r="H24" s="592">
        <f t="shared" ref="H24:Q25" si="4">SUM(H28+H32+H36+H40+H44+H48+H52+H56)</f>
        <v>13.200000000000003</v>
      </c>
      <c r="I24" s="585">
        <f t="shared" si="4"/>
        <v>13.200000000000003</v>
      </c>
      <c r="J24" s="585">
        <f t="shared" si="4"/>
        <v>0.79999999999999993</v>
      </c>
      <c r="K24" s="1018">
        <f t="shared" si="4"/>
        <v>0</v>
      </c>
      <c r="L24" s="592">
        <f t="shared" si="4"/>
        <v>11.5</v>
      </c>
      <c r="M24" s="585">
        <f t="shared" si="4"/>
        <v>11.5</v>
      </c>
      <c r="N24" s="585">
        <f t="shared" si="4"/>
        <v>1</v>
      </c>
      <c r="O24" s="1018">
        <f t="shared" si="4"/>
        <v>0</v>
      </c>
      <c r="P24" s="592">
        <f t="shared" si="4"/>
        <v>12.600000000000001</v>
      </c>
      <c r="Q24" s="592">
        <f t="shared" si="4"/>
        <v>12.600000000000001</v>
      </c>
      <c r="R24" s="1214"/>
      <c r="S24" s="1300"/>
      <c r="T24" s="1300"/>
      <c r="U24" s="1218"/>
      <c r="V24" s="1019"/>
      <c r="W24" s="1014"/>
      <c r="X24" s="231"/>
      <c r="AE24" s="1004"/>
    </row>
    <row r="25" spans="1:35" ht="19.5" customHeight="1" x14ac:dyDescent="0.2">
      <c r="A25" s="1159"/>
      <c r="B25" s="1160"/>
      <c r="C25" s="1161"/>
      <c r="D25" s="1221"/>
      <c r="E25" s="1207"/>
      <c r="F25" s="1209"/>
      <c r="G25" s="594" t="s">
        <v>73</v>
      </c>
      <c r="H25" s="592">
        <f t="shared" si="4"/>
        <v>3.2</v>
      </c>
      <c r="I25" s="585">
        <f t="shared" si="4"/>
        <v>3.2</v>
      </c>
      <c r="J25" s="585">
        <f t="shared" si="4"/>
        <v>2.5</v>
      </c>
      <c r="K25" s="1018">
        <f t="shared" si="4"/>
        <v>0</v>
      </c>
      <c r="L25" s="592">
        <f t="shared" si="4"/>
        <v>3.2</v>
      </c>
      <c r="M25" s="585">
        <f t="shared" si="4"/>
        <v>3.2</v>
      </c>
      <c r="N25" s="585">
        <f t="shared" si="4"/>
        <v>2.5</v>
      </c>
      <c r="O25" s="1018">
        <f t="shared" si="4"/>
        <v>0</v>
      </c>
      <c r="P25" s="592">
        <f t="shared" si="4"/>
        <v>0</v>
      </c>
      <c r="Q25" s="592">
        <f t="shared" si="4"/>
        <v>0</v>
      </c>
      <c r="R25" s="1214"/>
      <c r="S25" s="1295"/>
      <c r="T25" s="1295"/>
      <c r="U25" s="1219"/>
      <c r="V25" s="1019"/>
      <c r="W25" s="1014"/>
      <c r="X25" s="231"/>
      <c r="AE25" s="1004"/>
    </row>
    <row r="26" spans="1:35" ht="22.5" customHeight="1" x14ac:dyDescent="0.2">
      <c r="A26" s="1159"/>
      <c r="B26" s="1160"/>
      <c r="C26" s="1161"/>
      <c r="D26" s="1221"/>
      <c r="E26" s="1207"/>
      <c r="F26" s="1209"/>
      <c r="G26" s="652" t="s">
        <v>13</v>
      </c>
      <c r="H26" s="1006">
        <f>SUM(H23:H25)</f>
        <v>444.89999999999992</v>
      </c>
      <c r="I26" s="1007">
        <f t="shared" ref="I26:Q26" si="5">SUM(I23:I25)</f>
        <v>437.8</v>
      </c>
      <c r="J26" s="1007">
        <f t="shared" si="5"/>
        <v>283.40000000000003</v>
      </c>
      <c r="K26" s="1008">
        <f t="shared" si="5"/>
        <v>7.0999999999999988</v>
      </c>
      <c r="L26" s="1006">
        <f t="shared" si="5"/>
        <v>433.59999999999997</v>
      </c>
      <c r="M26" s="1007">
        <f t="shared" si="5"/>
        <v>428.99999999999994</v>
      </c>
      <c r="N26" s="1007">
        <f t="shared" si="5"/>
        <v>298.10000000000002</v>
      </c>
      <c r="O26" s="1008">
        <f t="shared" si="5"/>
        <v>4.5999999999999988</v>
      </c>
      <c r="P26" s="1015">
        <f t="shared" si="5"/>
        <v>630.30000000000007</v>
      </c>
      <c r="Q26" s="1015">
        <f t="shared" si="5"/>
        <v>691.7</v>
      </c>
      <c r="R26" s="1158"/>
      <c r="S26" s="608">
        <f>SUM(S23)</f>
        <v>57</v>
      </c>
      <c r="T26" s="289">
        <f>SUM(T23)</f>
        <v>56</v>
      </c>
      <c r="U26" s="1020"/>
      <c r="V26" s="490"/>
      <c r="W26" s="1011"/>
      <c r="X26" s="1011"/>
      <c r="Y26" s="1003"/>
      <c r="Z26" s="1011"/>
      <c r="AA26" s="1011"/>
      <c r="AB26" s="1011"/>
      <c r="AE26" s="1004"/>
    </row>
    <row r="27" spans="1:35" ht="11.25" hidden="1" customHeight="1" outlineLevel="1" x14ac:dyDescent="0.2">
      <c r="A27" s="1124" t="s">
        <v>17</v>
      </c>
      <c r="B27" s="1126" t="s">
        <v>17</v>
      </c>
      <c r="C27" s="1150" t="s">
        <v>539</v>
      </c>
      <c r="D27" s="1220" t="s">
        <v>675</v>
      </c>
      <c r="E27" s="1152" t="s">
        <v>676</v>
      </c>
      <c r="F27" s="1154" t="s">
        <v>42</v>
      </c>
      <c r="G27" s="1021" t="s">
        <v>224</v>
      </c>
      <c r="H27" s="584">
        <v>72.599999999999994</v>
      </c>
      <c r="I27" s="585">
        <v>69.400000000000006</v>
      </c>
      <c r="J27" s="585">
        <v>46</v>
      </c>
      <c r="K27" s="586">
        <v>3.2</v>
      </c>
      <c r="L27" s="584">
        <v>70.400000000000006</v>
      </c>
      <c r="M27" s="585">
        <v>69</v>
      </c>
      <c r="N27" s="585">
        <v>45.9</v>
      </c>
      <c r="O27" s="586">
        <v>1.4</v>
      </c>
      <c r="P27" s="588">
        <v>108.5</v>
      </c>
      <c r="Q27" s="588">
        <v>119.4</v>
      </c>
      <c r="R27" s="1213" t="s">
        <v>677</v>
      </c>
      <c r="S27" s="946">
        <v>8</v>
      </c>
      <c r="T27" s="946">
        <v>8</v>
      </c>
      <c r="U27" s="1022"/>
      <c r="V27" s="1014"/>
      <c r="W27" s="1019"/>
      <c r="X27" s="231"/>
    </row>
    <row r="28" spans="1:35" ht="12.75" hidden="1" customHeight="1" outlineLevel="1" x14ac:dyDescent="0.2">
      <c r="A28" s="1159"/>
      <c r="B28" s="1160"/>
      <c r="C28" s="1161"/>
      <c r="D28" s="1221"/>
      <c r="E28" s="1164"/>
      <c r="F28" s="1165"/>
      <c r="G28" s="1021" t="s">
        <v>226</v>
      </c>
      <c r="H28" s="584">
        <v>0.4</v>
      </c>
      <c r="I28" s="585">
        <v>0.4</v>
      </c>
      <c r="J28" s="585"/>
      <c r="K28" s="586"/>
      <c r="L28" s="584">
        <v>0.4</v>
      </c>
      <c r="M28" s="585">
        <v>0.4</v>
      </c>
      <c r="N28" s="585"/>
      <c r="O28" s="586"/>
      <c r="P28" s="588">
        <v>0.4</v>
      </c>
      <c r="Q28" s="588">
        <v>0.1</v>
      </c>
      <c r="R28" s="1214"/>
      <c r="S28" s="946">
        <v>0</v>
      </c>
      <c r="T28" s="946">
        <v>0</v>
      </c>
      <c r="U28" s="1022"/>
      <c r="V28" s="1019"/>
      <c r="W28" s="1014"/>
      <c r="X28" s="231"/>
      <c r="Y28" s="231"/>
      <c r="Z28" s="231"/>
      <c r="AA28" s="231"/>
      <c r="AB28" s="231"/>
      <c r="AD28" s="231"/>
      <c r="AE28" s="231"/>
      <c r="AF28" s="231"/>
      <c r="AG28" s="231"/>
    </row>
    <row r="29" spans="1:35" ht="12.75" hidden="1" customHeight="1" outlineLevel="1" x14ac:dyDescent="0.2">
      <c r="A29" s="1159"/>
      <c r="B29" s="1160"/>
      <c r="C29" s="1161"/>
      <c r="D29" s="1221"/>
      <c r="E29" s="1164"/>
      <c r="F29" s="1165"/>
      <c r="G29" s="1023" t="s">
        <v>73</v>
      </c>
      <c r="H29" s="584">
        <v>0.7</v>
      </c>
      <c r="I29" s="585">
        <v>0.7</v>
      </c>
      <c r="J29" s="585">
        <v>0.5</v>
      </c>
      <c r="K29" s="586"/>
      <c r="L29" s="584">
        <v>0.7</v>
      </c>
      <c r="M29" s="585">
        <v>0.7</v>
      </c>
      <c r="N29" s="585">
        <v>0.5</v>
      </c>
      <c r="O29" s="586"/>
      <c r="P29" s="588"/>
      <c r="Q29" s="588"/>
      <c r="R29" s="1158"/>
      <c r="S29" s="1024">
        <v>0</v>
      </c>
      <c r="T29" s="1025">
        <v>0</v>
      </c>
      <c r="U29" s="1022"/>
      <c r="V29" s="1019"/>
      <c r="W29" s="1014"/>
      <c r="X29" s="231"/>
      <c r="Y29" s="231"/>
      <c r="Z29" s="231"/>
      <c r="AA29" s="231"/>
      <c r="AB29" s="231"/>
      <c r="AD29" s="231"/>
      <c r="AE29" s="231"/>
      <c r="AF29" s="231"/>
      <c r="AG29" s="231"/>
    </row>
    <row r="30" spans="1:35" ht="12.75" hidden="1" customHeight="1" outlineLevel="1" x14ac:dyDescent="0.2">
      <c r="A30" s="1159"/>
      <c r="B30" s="1160"/>
      <c r="C30" s="1161"/>
      <c r="D30" s="1221"/>
      <c r="E30" s="1164"/>
      <c r="F30" s="1165"/>
      <c r="G30" s="602" t="s">
        <v>13</v>
      </c>
      <c r="H30" s="581">
        <f t="shared" ref="H30:O30" si="6">SUM(H27:H29)</f>
        <v>73.7</v>
      </c>
      <c r="I30" s="581">
        <f t="shared" si="6"/>
        <v>70.500000000000014</v>
      </c>
      <c r="J30" s="581">
        <f t="shared" si="6"/>
        <v>46.5</v>
      </c>
      <c r="K30" s="581">
        <f t="shared" si="6"/>
        <v>3.2</v>
      </c>
      <c r="L30" s="581">
        <f t="shared" si="6"/>
        <v>71.500000000000014</v>
      </c>
      <c r="M30" s="581">
        <f t="shared" si="6"/>
        <v>70.100000000000009</v>
      </c>
      <c r="N30" s="581">
        <f t="shared" si="6"/>
        <v>46.4</v>
      </c>
      <c r="O30" s="581">
        <f t="shared" si="6"/>
        <v>1.4</v>
      </c>
      <c r="P30" s="583">
        <f>SUM(P27:P28)</f>
        <v>108.9</v>
      </c>
      <c r="Q30" s="583">
        <f>SUM(Q27:Q28)</f>
        <v>119.5</v>
      </c>
      <c r="R30" s="1158"/>
      <c r="S30" s="608">
        <f>SUM(S27)</f>
        <v>8</v>
      </c>
      <c r="T30" s="614">
        <f>SUM(T27)</f>
        <v>8</v>
      </c>
      <c r="U30" s="1026"/>
      <c r="V30" s="1014"/>
      <c r="W30" s="1014"/>
      <c r="X30" s="231" t="s">
        <v>226</v>
      </c>
      <c r="Y30" s="231">
        <f>H28+H32+H36+H40+H44+H48+H52+H56</f>
        <v>13.200000000000003</v>
      </c>
      <c r="Z30" s="231">
        <f>I28+I32+I36+I40+I44+I48+I52+I56</f>
        <v>13.200000000000003</v>
      </c>
      <c r="AA30" s="231">
        <f>J28+J32+J36+J40+J44+J48+J52+J56</f>
        <v>0.79999999999999993</v>
      </c>
      <c r="AB30" s="231">
        <f>K28+K32+K36+K40+K44+K48+K52+K56</f>
        <v>0</v>
      </c>
      <c r="AD30" s="231">
        <f>P28+P32+P36+P40+P44+P48+P52+P56</f>
        <v>12.600000000000001</v>
      </c>
      <c r="AE30" s="231"/>
    </row>
    <row r="31" spans="1:35" ht="11.25" hidden="1" customHeight="1" outlineLevel="1" x14ac:dyDescent="0.2">
      <c r="A31" s="1124" t="s">
        <v>17</v>
      </c>
      <c r="B31" s="1126" t="s">
        <v>17</v>
      </c>
      <c r="C31" s="1150" t="s">
        <v>540</v>
      </c>
      <c r="D31" s="1215" t="s">
        <v>675</v>
      </c>
      <c r="E31" s="1152" t="s">
        <v>676</v>
      </c>
      <c r="F31" s="1154" t="s">
        <v>43</v>
      </c>
      <c r="G31" s="1021" t="s">
        <v>224</v>
      </c>
      <c r="H31" s="584">
        <v>47.2</v>
      </c>
      <c r="I31" s="585">
        <v>46.4</v>
      </c>
      <c r="J31" s="585">
        <v>27.1</v>
      </c>
      <c r="K31" s="586">
        <v>0.8</v>
      </c>
      <c r="L31" s="584">
        <v>45.6</v>
      </c>
      <c r="M31" s="585">
        <v>45.5</v>
      </c>
      <c r="N31" s="585">
        <v>27.1</v>
      </c>
      <c r="O31" s="586">
        <v>0.1</v>
      </c>
      <c r="P31" s="588">
        <v>80</v>
      </c>
      <c r="Q31" s="588">
        <v>88</v>
      </c>
      <c r="R31" s="1213" t="s">
        <v>677</v>
      </c>
      <c r="S31" s="946">
        <v>6</v>
      </c>
      <c r="T31" s="946">
        <v>5</v>
      </c>
      <c r="U31" s="1022" t="s">
        <v>678</v>
      </c>
      <c r="V31" s="1014"/>
      <c r="W31" s="1019"/>
      <c r="X31" s="231"/>
      <c r="Y31" s="231"/>
      <c r="Z31" s="231"/>
      <c r="AA31" s="231"/>
      <c r="AB31" s="231"/>
      <c r="AD31" s="231"/>
      <c r="AE31" s="231"/>
    </row>
    <row r="32" spans="1:35" ht="12.75" hidden="1" customHeight="1" outlineLevel="1" x14ac:dyDescent="0.2">
      <c r="A32" s="1159"/>
      <c r="B32" s="1160"/>
      <c r="C32" s="1161"/>
      <c r="D32" s="1216"/>
      <c r="E32" s="1164"/>
      <c r="F32" s="1165"/>
      <c r="G32" s="1021" t="s">
        <v>226</v>
      </c>
      <c r="H32" s="584">
        <v>0.6</v>
      </c>
      <c r="I32" s="585">
        <v>0.6</v>
      </c>
      <c r="J32" s="585"/>
      <c r="K32" s="586"/>
      <c r="L32" s="584">
        <v>0.6</v>
      </c>
      <c r="M32" s="585">
        <v>0.6</v>
      </c>
      <c r="N32" s="585"/>
      <c r="O32" s="586"/>
      <c r="P32" s="588">
        <v>0.6</v>
      </c>
      <c r="Q32" s="588">
        <v>0.6</v>
      </c>
      <c r="R32" s="1214"/>
      <c r="S32" s="946"/>
      <c r="T32" s="946"/>
      <c r="U32" s="1022"/>
      <c r="V32" s="1019"/>
      <c r="W32" s="1014"/>
      <c r="X32" s="231"/>
    </row>
    <row r="33" spans="1:27" ht="12.75" hidden="1" customHeight="1" outlineLevel="1" x14ac:dyDescent="0.2">
      <c r="A33" s="1159"/>
      <c r="B33" s="1160"/>
      <c r="C33" s="1161"/>
      <c r="D33" s="1216"/>
      <c r="E33" s="1164"/>
      <c r="F33" s="1165"/>
      <c r="G33" s="1023" t="s">
        <v>73</v>
      </c>
      <c r="H33" s="584"/>
      <c r="I33" s="585"/>
      <c r="J33" s="585"/>
      <c r="K33" s="586"/>
      <c r="L33" s="584"/>
      <c r="M33" s="585"/>
      <c r="N33" s="585"/>
      <c r="O33" s="586"/>
      <c r="P33" s="588"/>
      <c r="Q33" s="588"/>
      <c r="R33" s="1158"/>
      <c r="S33" s="1024"/>
      <c r="T33" s="1025"/>
      <c r="U33" s="1022"/>
      <c r="V33" s="1019"/>
      <c r="W33" s="1014"/>
      <c r="X33" s="231"/>
    </row>
    <row r="34" spans="1:27" ht="12.75" hidden="1" customHeight="1" outlineLevel="1" x14ac:dyDescent="0.2">
      <c r="A34" s="1159"/>
      <c r="B34" s="1160"/>
      <c r="C34" s="1161"/>
      <c r="D34" s="1216"/>
      <c r="E34" s="1164"/>
      <c r="F34" s="1165"/>
      <c r="G34" s="602" t="s">
        <v>13</v>
      </c>
      <c r="H34" s="581">
        <f>SUM(H31:H32)</f>
        <v>47.800000000000004</v>
      </c>
      <c r="I34" s="282">
        <f>SUM(I31:I32)</f>
        <v>47</v>
      </c>
      <c r="J34" s="282">
        <f>SUM(J31:J32)</f>
        <v>27.1</v>
      </c>
      <c r="K34" s="582">
        <f>SUM(K31:K32)</f>
        <v>0.8</v>
      </c>
      <c r="L34" s="1015">
        <f>SUM(L31:L33)</f>
        <v>46.2</v>
      </c>
      <c r="M34" s="1015">
        <f>SUM(M31:M33)</f>
        <v>46.1</v>
      </c>
      <c r="N34" s="1015">
        <f>SUM(N31:N33)</f>
        <v>27.1</v>
      </c>
      <c r="O34" s="1015">
        <f>SUM(O31:O33)</f>
        <v>0.1</v>
      </c>
      <c r="P34" s="583">
        <f>SUM(P31:P32)</f>
        <v>80.599999999999994</v>
      </c>
      <c r="Q34" s="583">
        <f>SUM(Q31:Q32)</f>
        <v>88.6</v>
      </c>
      <c r="R34" s="1158"/>
      <c r="S34" s="608">
        <f>SUM(S31)</f>
        <v>6</v>
      </c>
      <c r="T34" s="614">
        <f>SUM(T31)</f>
        <v>5</v>
      </c>
      <c r="U34" s="1026"/>
      <c r="V34" s="1014"/>
      <c r="W34" s="1014"/>
      <c r="X34" s="231"/>
      <c r="Y34" s="231">
        <f>S27+S31+S35+S39+S43+S47+S51+S55</f>
        <v>57</v>
      </c>
      <c r="Z34" s="231">
        <f>T27+T31+T35+T39+T43+T47+T51+T55</f>
        <v>56</v>
      </c>
      <c r="AA34" s="231" t="e">
        <f>U27+U31+U35+U39+U43+U47+U51+U55</f>
        <v>#VALUE!</v>
      </c>
    </row>
    <row r="35" spans="1:27" ht="11.25" hidden="1" customHeight="1" outlineLevel="1" x14ac:dyDescent="0.2">
      <c r="A35" s="1124" t="s">
        <v>17</v>
      </c>
      <c r="B35" s="1126" t="s">
        <v>17</v>
      </c>
      <c r="C35" s="1150" t="s">
        <v>578</v>
      </c>
      <c r="D35" s="1215" t="s">
        <v>675</v>
      </c>
      <c r="E35" s="1152" t="s">
        <v>676</v>
      </c>
      <c r="F35" s="1154" t="s">
        <v>91</v>
      </c>
      <c r="G35" s="1021" t="s">
        <v>224</v>
      </c>
      <c r="H35" s="584">
        <v>37.799999999999997</v>
      </c>
      <c r="I35" s="585">
        <v>36.299999999999997</v>
      </c>
      <c r="J35" s="585">
        <v>27.2</v>
      </c>
      <c r="K35" s="586">
        <v>1.5</v>
      </c>
      <c r="L35" s="584">
        <v>36.700000000000003</v>
      </c>
      <c r="M35" s="585">
        <v>35.200000000000003</v>
      </c>
      <c r="N35" s="585">
        <v>27.2</v>
      </c>
      <c r="O35" s="586">
        <v>1.5</v>
      </c>
      <c r="P35" s="588">
        <v>44.8</v>
      </c>
      <c r="Q35" s="588">
        <v>45.3</v>
      </c>
      <c r="R35" s="1213" t="s">
        <v>677</v>
      </c>
      <c r="S35" s="946">
        <v>5</v>
      </c>
      <c r="T35" s="946">
        <v>5</v>
      </c>
      <c r="U35" s="1022"/>
      <c r="V35" s="1014"/>
      <c r="W35" s="1019"/>
      <c r="X35" s="231"/>
    </row>
    <row r="36" spans="1:27" ht="12.75" hidden="1" customHeight="1" outlineLevel="1" x14ac:dyDescent="0.2">
      <c r="A36" s="1159"/>
      <c r="B36" s="1160"/>
      <c r="C36" s="1161"/>
      <c r="D36" s="1216"/>
      <c r="E36" s="1164"/>
      <c r="F36" s="1165"/>
      <c r="G36" s="1021" t="s">
        <v>226</v>
      </c>
      <c r="H36" s="584">
        <v>7.3</v>
      </c>
      <c r="I36" s="585">
        <v>7.3</v>
      </c>
      <c r="J36" s="585">
        <v>0.1</v>
      </c>
      <c r="K36" s="586"/>
      <c r="L36" s="584">
        <v>6.2</v>
      </c>
      <c r="M36" s="585">
        <v>6.2</v>
      </c>
      <c r="N36" s="585">
        <v>0.3</v>
      </c>
      <c r="O36" s="586"/>
      <c r="P36" s="588">
        <v>7.3</v>
      </c>
      <c r="Q36" s="588">
        <v>7.3</v>
      </c>
      <c r="R36" s="1214"/>
      <c r="S36" s="946">
        <v>0</v>
      </c>
      <c r="T36" s="946">
        <v>0</v>
      </c>
      <c r="U36" s="1022"/>
      <c r="V36" s="1019"/>
      <c r="W36" s="1014"/>
      <c r="X36" s="231"/>
    </row>
    <row r="37" spans="1:27" ht="12.75" hidden="1" customHeight="1" outlineLevel="1" x14ac:dyDescent="0.2">
      <c r="A37" s="1159"/>
      <c r="B37" s="1160"/>
      <c r="C37" s="1161"/>
      <c r="D37" s="1216"/>
      <c r="E37" s="1164"/>
      <c r="F37" s="1165"/>
      <c r="G37" s="1023" t="s">
        <v>73</v>
      </c>
      <c r="H37" s="584"/>
      <c r="I37" s="585"/>
      <c r="J37" s="585"/>
      <c r="K37" s="586"/>
      <c r="L37" s="584"/>
      <c r="M37" s="585"/>
      <c r="N37" s="585"/>
      <c r="O37" s="586"/>
      <c r="P37" s="588"/>
      <c r="Q37" s="588"/>
      <c r="R37" s="1158"/>
      <c r="S37" s="1024">
        <f>+H37</f>
        <v>0</v>
      </c>
      <c r="T37" s="1025">
        <v>0</v>
      </c>
      <c r="U37" s="1022"/>
      <c r="V37" s="1019"/>
      <c r="W37" s="1014"/>
      <c r="X37" s="231"/>
    </row>
    <row r="38" spans="1:27" ht="12.75" hidden="1" customHeight="1" outlineLevel="1" x14ac:dyDescent="0.2">
      <c r="A38" s="1159"/>
      <c r="B38" s="1160"/>
      <c r="C38" s="1161"/>
      <c r="D38" s="1216"/>
      <c r="E38" s="1164"/>
      <c r="F38" s="1165"/>
      <c r="G38" s="602" t="s">
        <v>13</v>
      </c>
      <c r="H38" s="581">
        <f>SUM(H35:H36)</f>
        <v>45.099999999999994</v>
      </c>
      <c r="I38" s="282">
        <f>SUM(I35:I36)</f>
        <v>43.599999999999994</v>
      </c>
      <c r="J38" s="282">
        <f>SUM(J35:J36)</f>
        <v>27.3</v>
      </c>
      <c r="K38" s="582">
        <f>SUM(K35:K36)</f>
        <v>1.5</v>
      </c>
      <c r="L38" s="1015">
        <f>SUM(L35:L37)</f>
        <v>42.900000000000006</v>
      </c>
      <c r="M38" s="1015">
        <f>SUM(M35:M37)</f>
        <v>41.400000000000006</v>
      </c>
      <c r="N38" s="1015">
        <f>SUM(N35:N37)</f>
        <v>27.5</v>
      </c>
      <c r="O38" s="1015">
        <f>SUM(O35:O37)</f>
        <v>1.5</v>
      </c>
      <c r="P38" s="583">
        <f>SUM(P35:P36)</f>
        <v>52.099999999999994</v>
      </c>
      <c r="Q38" s="583">
        <f>SUM(Q35:Q36)</f>
        <v>52.599999999999994</v>
      </c>
      <c r="R38" s="1158"/>
      <c r="S38" s="608">
        <f>SUM(S35)</f>
        <v>5</v>
      </c>
      <c r="T38" s="614">
        <f>SUM(T35)</f>
        <v>5</v>
      </c>
      <c r="U38" s="1026"/>
      <c r="V38" s="1014"/>
      <c r="W38" s="1014"/>
      <c r="X38" s="231"/>
    </row>
    <row r="39" spans="1:27" ht="11.25" hidden="1" customHeight="1" outlineLevel="1" x14ac:dyDescent="0.2">
      <c r="A39" s="1124" t="s">
        <v>17</v>
      </c>
      <c r="B39" s="1126" t="s">
        <v>17</v>
      </c>
      <c r="C39" s="1150" t="s">
        <v>579</v>
      </c>
      <c r="D39" s="1215" t="s">
        <v>675</v>
      </c>
      <c r="E39" s="1152" t="s">
        <v>676</v>
      </c>
      <c r="F39" s="1154" t="s">
        <v>92</v>
      </c>
      <c r="G39" s="1021" t="s">
        <v>224</v>
      </c>
      <c r="H39" s="584">
        <v>53.8</v>
      </c>
      <c r="I39" s="585">
        <v>52.6</v>
      </c>
      <c r="J39" s="585">
        <v>34.799999999999997</v>
      </c>
      <c r="K39" s="586">
        <v>1.2</v>
      </c>
      <c r="L39" s="584">
        <v>53.7</v>
      </c>
      <c r="M39" s="585">
        <v>52.5</v>
      </c>
      <c r="N39" s="585">
        <v>34.799999999999997</v>
      </c>
      <c r="O39" s="586">
        <v>1.2</v>
      </c>
      <c r="P39" s="612">
        <v>81</v>
      </c>
      <c r="Q39" s="612">
        <v>88.4</v>
      </c>
      <c r="R39" s="1213" t="s">
        <v>677</v>
      </c>
      <c r="S39" s="946">
        <v>8</v>
      </c>
      <c r="T39" s="946">
        <v>8</v>
      </c>
      <c r="U39" s="1022"/>
      <c r="V39" s="1014"/>
      <c r="W39" s="1019"/>
      <c r="X39" s="231"/>
    </row>
    <row r="40" spans="1:27" ht="12.75" hidden="1" customHeight="1" outlineLevel="1" x14ac:dyDescent="0.2">
      <c r="A40" s="1159"/>
      <c r="B40" s="1160"/>
      <c r="C40" s="1161"/>
      <c r="D40" s="1216"/>
      <c r="E40" s="1164"/>
      <c r="F40" s="1165"/>
      <c r="G40" s="1021" t="s">
        <v>226</v>
      </c>
      <c r="H40" s="584">
        <v>0.4</v>
      </c>
      <c r="I40" s="585">
        <v>0.4</v>
      </c>
      <c r="J40" s="585"/>
      <c r="K40" s="586"/>
      <c r="L40" s="584">
        <v>0.3</v>
      </c>
      <c r="M40" s="585">
        <v>0.3</v>
      </c>
      <c r="N40" s="585"/>
      <c r="O40" s="586"/>
      <c r="P40" s="588">
        <v>0.3</v>
      </c>
      <c r="Q40" s="588">
        <v>0.3</v>
      </c>
      <c r="R40" s="1214"/>
      <c r="S40" s="946">
        <v>0</v>
      </c>
      <c r="T40" s="946">
        <v>0</v>
      </c>
      <c r="U40" s="1027"/>
      <c r="V40" s="1019"/>
      <c r="W40" s="1014"/>
      <c r="X40" s="231"/>
    </row>
    <row r="41" spans="1:27" ht="12.75" hidden="1" customHeight="1" outlineLevel="1" x14ac:dyDescent="0.2">
      <c r="A41" s="1159"/>
      <c r="B41" s="1160"/>
      <c r="C41" s="1161"/>
      <c r="D41" s="1216"/>
      <c r="E41" s="1164"/>
      <c r="F41" s="1165"/>
      <c r="G41" s="1023" t="s">
        <v>73</v>
      </c>
      <c r="H41" s="584">
        <v>0.3</v>
      </c>
      <c r="I41" s="585">
        <v>0.3</v>
      </c>
      <c r="J41" s="585">
        <v>0.2</v>
      </c>
      <c r="K41" s="586"/>
      <c r="L41" s="584">
        <v>0.3</v>
      </c>
      <c r="M41" s="585">
        <v>0.3</v>
      </c>
      <c r="N41" s="585">
        <v>0.2</v>
      </c>
      <c r="O41" s="586"/>
      <c r="P41" s="588"/>
      <c r="Q41" s="588"/>
      <c r="R41" s="1158"/>
      <c r="S41" s="1024">
        <v>0</v>
      </c>
      <c r="T41" s="1025">
        <v>0</v>
      </c>
      <c r="U41" s="1022"/>
      <c r="V41" s="1019"/>
      <c r="W41" s="1014"/>
      <c r="X41" s="231"/>
    </row>
    <row r="42" spans="1:27" ht="12.75" hidden="1" customHeight="1" outlineLevel="1" x14ac:dyDescent="0.2">
      <c r="A42" s="1159"/>
      <c r="B42" s="1160"/>
      <c r="C42" s="1161"/>
      <c r="D42" s="1216"/>
      <c r="E42" s="1164"/>
      <c r="F42" s="1165"/>
      <c r="G42" s="602" t="s">
        <v>13</v>
      </c>
      <c r="H42" s="581">
        <f>SUM(H39:H41)</f>
        <v>54.499999999999993</v>
      </c>
      <c r="I42" s="282">
        <f>SUM(I39:I41)</f>
        <v>53.3</v>
      </c>
      <c r="J42" s="282">
        <f>SUM(J39:J40)</f>
        <v>34.799999999999997</v>
      </c>
      <c r="K42" s="582">
        <f>SUM(K39:K40)</f>
        <v>1.2</v>
      </c>
      <c r="L42" s="1015">
        <f>SUM(L39:L41)</f>
        <v>54.3</v>
      </c>
      <c r="M42" s="1015">
        <f>SUM(M39:M41)</f>
        <v>53.099999999999994</v>
      </c>
      <c r="N42" s="1015">
        <f>SUM(N39:N41)</f>
        <v>35</v>
      </c>
      <c r="O42" s="1015">
        <f>SUM(O39:O41)</f>
        <v>1.2</v>
      </c>
      <c r="P42" s="583">
        <f>SUM(P39:P40)</f>
        <v>81.3</v>
      </c>
      <c r="Q42" s="583">
        <f>SUM(Q39:Q40)</f>
        <v>88.7</v>
      </c>
      <c r="R42" s="1158"/>
      <c r="S42" s="608">
        <f>SUM(S39)</f>
        <v>8</v>
      </c>
      <c r="T42" s="614">
        <f>SUM(T39)</f>
        <v>8</v>
      </c>
      <c r="U42" s="1026"/>
      <c r="V42" s="490"/>
      <c r="W42" s="490"/>
      <c r="X42" s="593"/>
      <c r="Y42" s="490"/>
      <c r="Z42" s="490"/>
      <c r="AA42" s="593"/>
    </row>
    <row r="43" spans="1:27" ht="11.25" hidden="1" customHeight="1" outlineLevel="1" x14ac:dyDescent="0.2">
      <c r="A43" s="1124" t="s">
        <v>17</v>
      </c>
      <c r="B43" s="1126" t="s">
        <v>17</v>
      </c>
      <c r="C43" s="1150" t="s">
        <v>580</v>
      </c>
      <c r="D43" s="1215" t="s">
        <v>675</v>
      </c>
      <c r="E43" s="1152" t="s">
        <v>676</v>
      </c>
      <c r="F43" s="1211" t="s">
        <v>115</v>
      </c>
      <c r="G43" s="1021" t="s">
        <v>224</v>
      </c>
      <c r="H43" s="584">
        <v>81.400000000000006</v>
      </c>
      <c r="I43" s="585">
        <v>81.3</v>
      </c>
      <c r="J43" s="585">
        <v>51.5</v>
      </c>
      <c r="K43" s="586">
        <v>0.1</v>
      </c>
      <c r="L43" s="584">
        <v>78.599999999999994</v>
      </c>
      <c r="M43" s="585">
        <v>78.5</v>
      </c>
      <c r="N43" s="585">
        <v>66.099999999999994</v>
      </c>
      <c r="O43" s="586">
        <v>0.1</v>
      </c>
      <c r="P43" s="588">
        <v>108.5</v>
      </c>
      <c r="Q43" s="588">
        <v>119.4</v>
      </c>
      <c r="R43" s="1213" t="s">
        <v>677</v>
      </c>
      <c r="S43" s="972">
        <v>7</v>
      </c>
      <c r="T43" s="972">
        <v>7</v>
      </c>
      <c r="U43" s="1022"/>
      <c r="V43" s="490"/>
      <c r="W43" s="593"/>
      <c r="X43" s="1003"/>
      <c r="Y43" s="490"/>
      <c r="Z43" s="490"/>
    </row>
    <row r="44" spans="1:27" ht="12.75" hidden="1" customHeight="1" outlineLevel="1" x14ac:dyDescent="0.2">
      <c r="A44" s="1159"/>
      <c r="B44" s="1160"/>
      <c r="C44" s="1161"/>
      <c r="D44" s="1216"/>
      <c r="E44" s="1164"/>
      <c r="F44" s="1212"/>
      <c r="G44" s="1021" t="s">
        <v>226</v>
      </c>
      <c r="H44" s="584">
        <v>0.1</v>
      </c>
      <c r="I44" s="585">
        <v>0.1</v>
      </c>
      <c r="J44" s="585"/>
      <c r="K44" s="586"/>
      <c r="L44" s="584">
        <v>0.1</v>
      </c>
      <c r="M44" s="585">
        <v>0.1</v>
      </c>
      <c r="N44" s="585"/>
      <c r="O44" s="586"/>
      <c r="P44" s="588">
        <v>0.1</v>
      </c>
      <c r="Q44" s="588"/>
      <c r="R44" s="1214"/>
      <c r="S44" s="972"/>
      <c r="T44" s="972"/>
      <c r="U44" s="1022"/>
      <c r="V44" s="1019"/>
      <c r="W44" s="1014"/>
      <c r="X44" s="231"/>
    </row>
    <row r="45" spans="1:27" ht="12.75" hidden="1" customHeight="1" outlineLevel="1" x14ac:dyDescent="0.2">
      <c r="A45" s="1159"/>
      <c r="B45" s="1160"/>
      <c r="C45" s="1161"/>
      <c r="D45" s="1216"/>
      <c r="E45" s="1164"/>
      <c r="F45" s="1212"/>
      <c r="G45" s="1023" t="s">
        <v>73</v>
      </c>
      <c r="H45" s="584">
        <v>2.2000000000000002</v>
      </c>
      <c r="I45" s="585">
        <v>2.2000000000000002</v>
      </c>
      <c r="J45" s="585">
        <v>1.8</v>
      </c>
      <c r="K45" s="586"/>
      <c r="L45" s="584">
        <v>2.2000000000000002</v>
      </c>
      <c r="M45" s="585">
        <v>2.2000000000000002</v>
      </c>
      <c r="N45" s="585">
        <v>1.8</v>
      </c>
      <c r="O45" s="586"/>
      <c r="P45" s="588"/>
      <c r="Q45" s="588"/>
      <c r="R45" s="1158"/>
      <c r="S45" s="966">
        <v>0</v>
      </c>
      <c r="T45" s="1028">
        <v>0</v>
      </c>
      <c r="U45" s="1022"/>
      <c r="V45" s="1019"/>
      <c r="W45" s="1014"/>
      <c r="X45" s="231"/>
    </row>
    <row r="46" spans="1:27" ht="12.75" hidden="1" customHeight="1" outlineLevel="1" x14ac:dyDescent="0.2">
      <c r="A46" s="1159"/>
      <c r="B46" s="1160"/>
      <c r="C46" s="1161"/>
      <c r="D46" s="1216"/>
      <c r="E46" s="1164"/>
      <c r="F46" s="1212"/>
      <c r="G46" s="602" t="s">
        <v>13</v>
      </c>
      <c r="H46" s="581">
        <f>SUM(H43:H45)</f>
        <v>83.7</v>
      </c>
      <c r="I46" s="282">
        <f>SUM(I43:I45)</f>
        <v>83.6</v>
      </c>
      <c r="J46" s="282">
        <f>SUM(J43:J44)</f>
        <v>51.5</v>
      </c>
      <c r="K46" s="582">
        <f>SUM(K43:K44)</f>
        <v>0.1</v>
      </c>
      <c r="L46" s="1015">
        <f>SUM(L43:L45)</f>
        <v>80.899999999999991</v>
      </c>
      <c r="M46" s="1015">
        <f>SUM(M43:M45)</f>
        <v>80.8</v>
      </c>
      <c r="N46" s="1015">
        <f>SUM(N43:N45)</f>
        <v>67.899999999999991</v>
      </c>
      <c r="O46" s="1015">
        <f>SUM(O43:O45)</f>
        <v>0.1</v>
      </c>
      <c r="P46" s="583">
        <f>SUM(P43:P44)</f>
        <v>108.6</v>
      </c>
      <c r="Q46" s="583">
        <f>SUM(Q43:Q44)</f>
        <v>119.4</v>
      </c>
      <c r="R46" s="1158"/>
      <c r="S46" s="608">
        <f>SUM(S43)</f>
        <v>7</v>
      </c>
      <c r="T46" s="614">
        <f>SUM(T43)</f>
        <v>7</v>
      </c>
      <c r="U46" s="1026"/>
      <c r="V46" s="1014"/>
      <c r="W46" s="1014"/>
      <c r="X46" s="231"/>
    </row>
    <row r="47" spans="1:27" ht="11.25" hidden="1" customHeight="1" outlineLevel="1" x14ac:dyDescent="0.2">
      <c r="A47" s="1124" t="s">
        <v>17</v>
      </c>
      <c r="B47" s="1126" t="s">
        <v>17</v>
      </c>
      <c r="C47" s="1150" t="s">
        <v>581</v>
      </c>
      <c r="D47" s="1215" t="s">
        <v>675</v>
      </c>
      <c r="E47" s="1152" t="s">
        <v>676</v>
      </c>
      <c r="F47" s="1211" t="s">
        <v>93</v>
      </c>
      <c r="G47" s="1021" t="s">
        <v>224</v>
      </c>
      <c r="H47" s="584">
        <v>47.7</v>
      </c>
      <c r="I47" s="585">
        <v>47.6</v>
      </c>
      <c r="J47" s="585">
        <v>31.1</v>
      </c>
      <c r="K47" s="586">
        <v>0.1</v>
      </c>
      <c r="L47" s="584">
        <v>47.5</v>
      </c>
      <c r="M47" s="585">
        <v>47.4</v>
      </c>
      <c r="N47" s="585">
        <v>31.1</v>
      </c>
      <c r="O47" s="586">
        <v>0.1</v>
      </c>
      <c r="P47" s="588">
        <v>66.400000000000006</v>
      </c>
      <c r="Q47" s="588">
        <v>82.7</v>
      </c>
      <c r="R47" s="1213" t="s">
        <v>677</v>
      </c>
      <c r="S47" s="946">
        <v>8</v>
      </c>
      <c r="T47" s="946">
        <v>8</v>
      </c>
      <c r="U47" s="1022"/>
      <c r="V47" s="1014"/>
      <c r="W47" s="1019"/>
      <c r="X47" s="231"/>
    </row>
    <row r="48" spans="1:27" ht="12.75" hidden="1" customHeight="1" outlineLevel="1" x14ac:dyDescent="0.2">
      <c r="A48" s="1159"/>
      <c r="B48" s="1160"/>
      <c r="C48" s="1161"/>
      <c r="D48" s="1216"/>
      <c r="E48" s="1164"/>
      <c r="F48" s="1212"/>
      <c r="G48" s="1021" t="s">
        <v>226</v>
      </c>
      <c r="H48" s="584">
        <v>0.3</v>
      </c>
      <c r="I48" s="585">
        <v>0.3</v>
      </c>
      <c r="J48" s="585"/>
      <c r="K48" s="586"/>
      <c r="L48" s="584">
        <v>0.2</v>
      </c>
      <c r="M48" s="585">
        <v>0.2</v>
      </c>
      <c r="N48" s="585"/>
      <c r="O48" s="586"/>
      <c r="P48" s="588">
        <v>0.3</v>
      </c>
      <c r="Q48" s="588">
        <v>0.3</v>
      </c>
      <c r="R48" s="1214"/>
      <c r="S48" s="946">
        <v>0</v>
      </c>
      <c r="T48" s="946">
        <v>0</v>
      </c>
      <c r="U48" s="1029"/>
      <c r="V48" s="1019"/>
      <c r="W48" s="1014"/>
      <c r="X48" s="231"/>
    </row>
    <row r="49" spans="1:26" ht="12.75" hidden="1" customHeight="1" outlineLevel="1" x14ac:dyDescent="0.2">
      <c r="A49" s="1159"/>
      <c r="B49" s="1160"/>
      <c r="C49" s="1161"/>
      <c r="D49" s="1216"/>
      <c r="E49" s="1164"/>
      <c r="F49" s="1212"/>
      <c r="G49" s="1023" t="s">
        <v>73</v>
      </c>
      <c r="H49" s="584"/>
      <c r="I49" s="585"/>
      <c r="J49" s="585"/>
      <c r="K49" s="586"/>
      <c r="L49" s="584"/>
      <c r="M49" s="585"/>
      <c r="N49" s="585"/>
      <c r="O49" s="586"/>
      <c r="P49" s="588"/>
      <c r="Q49" s="588"/>
      <c r="R49" s="1158"/>
      <c r="S49" s="1024">
        <f>+H49</f>
        <v>0</v>
      </c>
      <c r="T49" s="1025">
        <v>0</v>
      </c>
      <c r="U49" s="1022"/>
      <c r="V49" s="1019"/>
      <c r="W49" s="1014"/>
      <c r="X49" s="231"/>
    </row>
    <row r="50" spans="1:26" ht="12.75" hidden="1" customHeight="1" outlineLevel="1" x14ac:dyDescent="0.2">
      <c r="A50" s="1159"/>
      <c r="B50" s="1160"/>
      <c r="C50" s="1161"/>
      <c r="D50" s="1216"/>
      <c r="E50" s="1164"/>
      <c r="F50" s="1212"/>
      <c r="G50" s="602" t="s">
        <v>13</v>
      </c>
      <c r="H50" s="581">
        <f>SUM(H47:H48)</f>
        <v>48</v>
      </c>
      <c r="I50" s="282">
        <f>SUM(I47:I48)</f>
        <v>47.9</v>
      </c>
      <c r="J50" s="282">
        <f>SUM(J47:J48)</f>
        <v>31.1</v>
      </c>
      <c r="K50" s="582">
        <f>SUM(K47:K48)</f>
        <v>0.1</v>
      </c>
      <c r="L50" s="1015">
        <f>SUM(L47:L49)</f>
        <v>47.7</v>
      </c>
      <c r="M50" s="1015">
        <f>SUM(M47:M49)</f>
        <v>47.6</v>
      </c>
      <c r="N50" s="1015">
        <f>SUM(N47:N49)</f>
        <v>31.1</v>
      </c>
      <c r="O50" s="1015">
        <f>SUM(O47:O49)</f>
        <v>0.1</v>
      </c>
      <c r="P50" s="583">
        <f>SUM(P47:P48)</f>
        <v>66.7</v>
      </c>
      <c r="Q50" s="583">
        <f>SUM(Q47:Q48)</f>
        <v>83</v>
      </c>
      <c r="R50" s="1158"/>
      <c r="S50" s="608">
        <f>SUM(S47)</f>
        <v>8</v>
      </c>
      <c r="T50" s="614">
        <f>SUM(T47)</f>
        <v>8</v>
      </c>
      <c r="U50" s="1026"/>
      <c r="V50" s="1014"/>
      <c r="W50" s="1014"/>
      <c r="X50" s="231"/>
    </row>
    <row r="51" spans="1:26" ht="11.25" hidden="1" customHeight="1" outlineLevel="1" x14ac:dyDescent="0.2">
      <c r="A51" s="1124" t="s">
        <v>17</v>
      </c>
      <c r="B51" s="1126" t="s">
        <v>17</v>
      </c>
      <c r="C51" s="1150" t="s">
        <v>582</v>
      </c>
      <c r="D51" s="1215" t="s">
        <v>675</v>
      </c>
      <c r="E51" s="1152" t="s">
        <v>676</v>
      </c>
      <c r="F51" s="1211" t="s">
        <v>94</v>
      </c>
      <c r="G51" s="1021" t="s">
        <v>224</v>
      </c>
      <c r="H51" s="584">
        <v>45.7</v>
      </c>
      <c r="I51" s="585">
        <v>45.6</v>
      </c>
      <c r="J51" s="585">
        <v>33.799999999999997</v>
      </c>
      <c r="K51" s="586">
        <v>0.1</v>
      </c>
      <c r="L51" s="584">
        <v>45</v>
      </c>
      <c r="M51" s="585">
        <v>44.9</v>
      </c>
      <c r="N51" s="585">
        <v>33.799999999999997</v>
      </c>
      <c r="O51" s="586">
        <v>0.1</v>
      </c>
      <c r="P51" s="588">
        <v>59.7</v>
      </c>
      <c r="Q51" s="588">
        <v>59.9</v>
      </c>
      <c r="R51" s="1213" t="s">
        <v>677</v>
      </c>
      <c r="S51" s="972">
        <v>10</v>
      </c>
      <c r="T51" s="972">
        <v>10</v>
      </c>
      <c r="U51" s="1022"/>
      <c r="V51" s="490"/>
      <c r="W51" s="593"/>
      <c r="X51" s="1003"/>
      <c r="Y51" s="490"/>
      <c r="Z51" s="490"/>
    </row>
    <row r="52" spans="1:26" ht="12.75" hidden="1" customHeight="1" outlineLevel="1" x14ac:dyDescent="0.2">
      <c r="A52" s="1159"/>
      <c r="B52" s="1160"/>
      <c r="C52" s="1161"/>
      <c r="D52" s="1216"/>
      <c r="E52" s="1164"/>
      <c r="F52" s="1212"/>
      <c r="G52" s="1021" t="s">
        <v>226</v>
      </c>
      <c r="H52" s="584">
        <v>3.8</v>
      </c>
      <c r="I52" s="585">
        <v>3.8</v>
      </c>
      <c r="J52" s="585">
        <v>0.7</v>
      </c>
      <c r="K52" s="586"/>
      <c r="L52" s="584">
        <v>3.4</v>
      </c>
      <c r="M52" s="585">
        <v>3.4</v>
      </c>
      <c r="N52" s="585">
        <v>0.7</v>
      </c>
      <c r="O52" s="586"/>
      <c r="P52" s="588">
        <v>3.5</v>
      </c>
      <c r="Q52" s="588">
        <v>3.5</v>
      </c>
      <c r="R52" s="1214"/>
      <c r="S52" s="972"/>
      <c r="T52" s="972"/>
      <c r="U52" s="1022"/>
      <c r="V52" s="1019"/>
      <c r="W52" s="1014"/>
      <c r="X52" s="231"/>
    </row>
    <row r="53" spans="1:26" ht="12.75" hidden="1" customHeight="1" outlineLevel="1" x14ac:dyDescent="0.2">
      <c r="A53" s="1159"/>
      <c r="B53" s="1160"/>
      <c r="C53" s="1161"/>
      <c r="D53" s="1216"/>
      <c r="E53" s="1164"/>
      <c r="F53" s="1212"/>
      <c r="G53" s="1023" t="s">
        <v>73</v>
      </c>
      <c r="H53" s="584"/>
      <c r="I53" s="585"/>
      <c r="J53" s="585"/>
      <c r="K53" s="586"/>
      <c r="L53" s="584"/>
      <c r="M53" s="585"/>
      <c r="N53" s="585"/>
      <c r="O53" s="586"/>
      <c r="P53" s="588"/>
      <c r="Q53" s="588"/>
      <c r="R53" s="1158"/>
      <c r="S53" s="966"/>
      <c r="T53" s="1028"/>
      <c r="U53" s="1022"/>
      <c r="V53" s="1019"/>
      <c r="W53" s="1014"/>
      <c r="X53" s="231"/>
    </row>
    <row r="54" spans="1:26" ht="12.75" hidden="1" customHeight="1" outlineLevel="1" x14ac:dyDescent="0.2">
      <c r="A54" s="1159"/>
      <c r="B54" s="1160"/>
      <c r="C54" s="1161"/>
      <c r="D54" s="1216"/>
      <c r="E54" s="1164"/>
      <c r="F54" s="1212"/>
      <c r="G54" s="602" t="s">
        <v>13</v>
      </c>
      <c r="H54" s="581">
        <f>SUM(H51:H52)</f>
        <v>49.5</v>
      </c>
      <c r="I54" s="282">
        <f>SUM(I51:I52)</f>
        <v>49.4</v>
      </c>
      <c r="J54" s="282">
        <f>SUM(J51:J52)</f>
        <v>34.5</v>
      </c>
      <c r="K54" s="582">
        <f>SUM(K51:K52)</f>
        <v>0.1</v>
      </c>
      <c r="L54" s="1015">
        <f>SUM(L51:L53)</f>
        <v>48.4</v>
      </c>
      <c r="M54" s="1015">
        <f>SUM(M51:M53)</f>
        <v>48.3</v>
      </c>
      <c r="N54" s="1015">
        <f>SUM(N51:N53)</f>
        <v>34.5</v>
      </c>
      <c r="O54" s="1015">
        <f>SUM(O51:O53)</f>
        <v>0.1</v>
      </c>
      <c r="P54" s="583">
        <f>SUM(P51:P52)</f>
        <v>63.2</v>
      </c>
      <c r="Q54" s="583">
        <f>SUM(Q51:Q52)</f>
        <v>63.4</v>
      </c>
      <c r="R54" s="1158"/>
      <c r="S54" s="608">
        <f>SUM(S51)</f>
        <v>10</v>
      </c>
      <c r="T54" s="614">
        <f>SUM(T51)</f>
        <v>10</v>
      </c>
      <c r="U54" s="1026"/>
      <c r="V54" s="1014"/>
      <c r="W54" s="1014"/>
      <c r="X54" s="231"/>
    </row>
    <row r="55" spans="1:26" ht="11.25" hidden="1" customHeight="1" outlineLevel="1" x14ac:dyDescent="0.2">
      <c r="A55" s="1124" t="s">
        <v>17</v>
      </c>
      <c r="B55" s="1126" t="s">
        <v>17</v>
      </c>
      <c r="C55" s="1150" t="s">
        <v>583</v>
      </c>
      <c r="D55" s="1215" t="s">
        <v>675</v>
      </c>
      <c r="E55" s="1152" t="s">
        <v>676</v>
      </c>
      <c r="F55" s="1211" t="s">
        <v>95</v>
      </c>
      <c r="G55" s="1021" t="s">
        <v>224</v>
      </c>
      <c r="H55" s="584">
        <v>42.3</v>
      </c>
      <c r="I55" s="585">
        <v>42.2</v>
      </c>
      <c r="J55" s="585">
        <v>28.6</v>
      </c>
      <c r="K55" s="586">
        <v>0.1</v>
      </c>
      <c r="L55" s="584">
        <v>41.4</v>
      </c>
      <c r="M55" s="585">
        <v>41.3</v>
      </c>
      <c r="N55" s="585">
        <v>28.6</v>
      </c>
      <c r="O55" s="586">
        <v>0.1</v>
      </c>
      <c r="P55" s="588">
        <v>68.8</v>
      </c>
      <c r="Q55" s="588">
        <v>76</v>
      </c>
      <c r="R55" s="1213" t="s">
        <v>677</v>
      </c>
      <c r="S55" s="946">
        <v>5</v>
      </c>
      <c r="T55" s="946">
        <v>5</v>
      </c>
      <c r="U55" s="1022"/>
      <c r="V55" s="1014"/>
      <c r="W55" s="1019"/>
      <c r="X55" s="231"/>
    </row>
    <row r="56" spans="1:26" ht="12.75" hidden="1" customHeight="1" outlineLevel="1" x14ac:dyDescent="0.2">
      <c r="A56" s="1159"/>
      <c r="B56" s="1160"/>
      <c r="C56" s="1161"/>
      <c r="D56" s="1216"/>
      <c r="E56" s="1164"/>
      <c r="F56" s="1212"/>
      <c r="G56" s="1021" t="s">
        <v>226</v>
      </c>
      <c r="H56" s="584">
        <v>0.3</v>
      </c>
      <c r="I56" s="585">
        <v>0.3</v>
      </c>
      <c r="J56" s="585"/>
      <c r="K56" s="586"/>
      <c r="L56" s="584">
        <v>0.3</v>
      </c>
      <c r="M56" s="585">
        <v>0.3</v>
      </c>
      <c r="N56" s="585"/>
      <c r="O56" s="586"/>
      <c r="P56" s="588">
        <v>0.1</v>
      </c>
      <c r="Q56" s="588">
        <v>0.5</v>
      </c>
      <c r="R56" s="1214"/>
      <c r="S56" s="946"/>
      <c r="T56" s="946"/>
      <c r="U56" s="1029"/>
      <c r="V56" s="1019"/>
      <c r="W56" s="1014"/>
      <c r="X56" s="231"/>
    </row>
    <row r="57" spans="1:26" ht="12.75" hidden="1" customHeight="1" outlineLevel="1" x14ac:dyDescent="0.2">
      <c r="A57" s="1159"/>
      <c r="B57" s="1160"/>
      <c r="C57" s="1161"/>
      <c r="D57" s="1216"/>
      <c r="E57" s="1164"/>
      <c r="F57" s="1212"/>
      <c r="G57" s="1023" t="s">
        <v>73</v>
      </c>
      <c r="H57" s="584"/>
      <c r="I57" s="585"/>
      <c r="J57" s="585"/>
      <c r="K57" s="586"/>
      <c r="L57" s="584"/>
      <c r="M57" s="585"/>
      <c r="N57" s="585"/>
      <c r="O57" s="586"/>
      <c r="P57" s="588"/>
      <c r="Q57" s="588"/>
      <c r="R57" s="1158"/>
      <c r="S57" s="1024"/>
      <c r="T57" s="1025"/>
      <c r="U57" s="1022"/>
      <c r="V57" s="1019"/>
      <c r="W57" s="1014"/>
      <c r="X57" s="231"/>
    </row>
    <row r="58" spans="1:26" ht="27.75" hidden="1" customHeight="1" outlineLevel="1" x14ac:dyDescent="0.2">
      <c r="A58" s="1159"/>
      <c r="B58" s="1160"/>
      <c r="C58" s="1161"/>
      <c r="D58" s="1216"/>
      <c r="E58" s="1164"/>
      <c r="F58" s="1212"/>
      <c r="G58" s="602" t="s">
        <v>13</v>
      </c>
      <c r="H58" s="581">
        <f>SUM(H55:H56)</f>
        <v>42.599999999999994</v>
      </c>
      <c r="I58" s="282">
        <f>SUM(I55:I56)</f>
        <v>42.5</v>
      </c>
      <c r="J58" s="282">
        <f>SUM(J55:J56)</f>
        <v>28.6</v>
      </c>
      <c r="K58" s="582">
        <f>SUM(K55:K56)</f>
        <v>0.1</v>
      </c>
      <c r="L58" s="1015">
        <f>SUM(L55:L57)</f>
        <v>41.699999999999996</v>
      </c>
      <c r="M58" s="1015">
        <f>SUM(M55:M57)</f>
        <v>41.599999999999994</v>
      </c>
      <c r="N58" s="1015">
        <f>SUM(N55:N57)</f>
        <v>28.6</v>
      </c>
      <c r="O58" s="1015">
        <f>SUM(O55:O57)</f>
        <v>0.1</v>
      </c>
      <c r="P58" s="583">
        <f>SUM(P55:P56)</f>
        <v>68.899999999999991</v>
      </c>
      <c r="Q58" s="583">
        <f>SUM(Q55:Q56)</f>
        <v>76.5</v>
      </c>
      <c r="R58" s="1158"/>
      <c r="S58" s="608">
        <f>SUM(S55)</f>
        <v>5</v>
      </c>
      <c r="T58" s="614">
        <f>SUM(T55)</f>
        <v>5</v>
      </c>
      <c r="U58" s="1026"/>
      <c r="V58" s="1014"/>
      <c r="W58" s="1014"/>
      <c r="X58" s="231"/>
    </row>
    <row r="59" spans="1:26" ht="51.75" customHeight="1" collapsed="1" x14ac:dyDescent="0.2">
      <c r="A59" s="1124" t="s">
        <v>17</v>
      </c>
      <c r="B59" s="1126" t="s">
        <v>17</v>
      </c>
      <c r="C59" s="1150" t="s">
        <v>21</v>
      </c>
      <c r="D59" s="1162" t="s">
        <v>679</v>
      </c>
      <c r="E59" s="1152" t="s">
        <v>680</v>
      </c>
      <c r="F59" s="1154" t="s">
        <v>430</v>
      </c>
      <c r="G59" s="1021" t="s">
        <v>224</v>
      </c>
      <c r="H59" s="841">
        <v>0.9</v>
      </c>
      <c r="I59" s="1030">
        <v>0.9</v>
      </c>
      <c r="J59" s="842"/>
      <c r="K59" s="1030"/>
      <c r="L59" s="1031">
        <v>0.9</v>
      </c>
      <c r="M59" s="843">
        <v>0.9</v>
      </c>
      <c r="N59" s="843"/>
      <c r="O59" s="1032"/>
      <c r="P59" s="1031">
        <v>3</v>
      </c>
      <c r="Q59" s="1031">
        <v>3</v>
      </c>
      <c r="R59" s="1156" t="s">
        <v>681</v>
      </c>
      <c r="S59" s="965">
        <v>1</v>
      </c>
      <c r="T59" s="965">
        <v>1</v>
      </c>
      <c r="U59" s="977"/>
      <c r="V59" s="490"/>
      <c r="W59" s="593"/>
      <c r="X59" s="1003"/>
      <c r="Y59" s="490"/>
      <c r="Z59" s="490"/>
    </row>
    <row r="60" spans="1:26" ht="18.75" customHeight="1" x14ac:dyDescent="0.2">
      <c r="A60" s="1159"/>
      <c r="B60" s="1160"/>
      <c r="C60" s="1161"/>
      <c r="D60" s="1163"/>
      <c r="E60" s="1164"/>
      <c r="F60" s="1165"/>
      <c r="G60" s="602" t="s">
        <v>13</v>
      </c>
      <c r="H60" s="581">
        <f>SUM(H59:H59)</f>
        <v>0.9</v>
      </c>
      <c r="I60" s="282">
        <f>SUM(I59:I59)</f>
        <v>0.9</v>
      </c>
      <c r="J60" s="282">
        <f>SUM(J59:J59)</f>
        <v>0</v>
      </c>
      <c r="K60" s="582">
        <f>SUM(K59:K59)</f>
        <v>0</v>
      </c>
      <c r="L60" s="1015">
        <f t="shared" ref="L60:Q60" si="7">SUM(L59:L59)</f>
        <v>0.9</v>
      </c>
      <c r="M60" s="1007">
        <f t="shared" si="7"/>
        <v>0.9</v>
      </c>
      <c r="N60" s="1007">
        <f t="shared" si="7"/>
        <v>0</v>
      </c>
      <c r="O60" s="1016">
        <f t="shared" si="7"/>
        <v>0</v>
      </c>
      <c r="P60" s="583">
        <f t="shared" si="7"/>
        <v>3</v>
      </c>
      <c r="Q60" s="583">
        <f t="shared" si="7"/>
        <v>3</v>
      </c>
      <c r="R60" s="1158"/>
      <c r="S60" s="608">
        <f>SUM(S59)</f>
        <v>1</v>
      </c>
      <c r="T60" s="614">
        <f>SUM(T59)</f>
        <v>1</v>
      </c>
      <c r="U60" s="1026"/>
      <c r="V60" s="1014"/>
      <c r="W60" s="1014"/>
      <c r="X60" s="231"/>
    </row>
    <row r="61" spans="1:26" ht="20.25" hidden="1" customHeight="1" outlineLevel="1" x14ac:dyDescent="0.2">
      <c r="A61" s="1124" t="s">
        <v>17</v>
      </c>
      <c r="B61" s="1126" t="s">
        <v>17</v>
      </c>
      <c r="C61" s="1150" t="s">
        <v>398</v>
      </c>
      <c r="D61" s="1162" t="s">
        <v>679</v>
      </c>
      <c r="E61" s="1152" t="s">
        <v>680</v>
      </c>
      <c r="F61" s="1154" t="s">
        <v>42</v>
      </c>
      <c r="G61" s="1021" t="s">
        <v>224</v>
      </c>
      <c r="H61" s="841"/>
      <c r="I61" s="842"/>
      <c r="J61" s="842"/>
      <c r="K61" s="1032"/>
      <c r="L61" s="584"/>
      <c r="M61" s="585"/>
      <c r="N61" s="585"/>
      <c r="O61" s="586"/>
      <c r="P61" s="612"/>
      <c r="Q61" s="1033"/>
      <c r="R61" s="1156" t="s">
        <v>681</v>
      </c>
      <c r="S61" s="1034"/>
      <c r="T61" s="1035"/>
      <c r="U61" s="1036"/>
      <c r="V61" s="1014"/>
      <c r="W61" s="1019"/>
      <c r="X61" s="231"/>
    </row>
    <row r="62" spans="1:26" ht="18.75" hidden="1" customHeight="1" outlineLevel="1" x14ac:dyDescent="0.2">
      <c r="A62" s="1159"/>
      <c r="B62" s="1160"/>
      <c r="C62" s="1161"/>
      <c r="D62" s="1163"/>
      <c r="E62" s="1164"/>
      <c r="F62" s="1165"/>
      <c r="G62" s="602" t="s">
        <v>13</v>
      </c>
      <c r="H62" s="581">
        <f>SUM(H61:H61)</f>
        <v>0</v>
      </c>
      <c r="I62" s="282">
        <f>SUM(I61:I61)</f>
        <v>0</v>
      </c>
      <c r="J62" s="282">
        <f>SUM(J61:J61)</f>
        <v>0</v>
      </c>
      <c r="K62" s="582">
        <f>SUM(K61:K61)</f>
        <v>0</v>
      </c>
      <c r="L62" s="1015">
        <f t="shared" ref="L62:Q62" si="8">SUM(L61:L61)</f>
        <v>0</v>
      </c>
      <c r="M62" s="1007">
        <f t="shared" si="8"/>
        <v>0</v>
      </c>
      <c r="N62" s="1007">
        <f t="shared" si="8"/>
        <v>0</v>
      </c>
      <c r="O62" s="1016">
        <f t="shared" si="8"/>
        <v>0</v>
      </c>
      <c r="P62" s="583">
        <f t="shared" si="8"/>
        <v>0</v>
      </c>
      <c r="Q62" s="583">
        <f t="shared" si="8"/>
        <v>0</v>
      </c>
      <c r="R62" s="1158"/>
      <c r="S62" s="608">
        <f>SUM(S61)</f>
        <v>0</v>
      </c>
      <c r="T62" s="614">
        <f>SUM(T61)</f>
        <v>0</v>
      </c>
      <c r="U62" s="1026">
        <f>SUM(U61)</f>
        <v>0</v>
      </c>
      <c r="V62" s="1014"/>
      <c r="W62" s="1014"/>
      <c r="X62" s="231"/>
    </row>
    <row r="63" spans="1:26" ht="20.25" hidden="1" customHeight="1" outlineLevel="1" x14ac:dyDescent="0.2">
      <c r="A63" s="1124" t="s">
        <v>17</v>
      </c>
      <c r="B63" s="1126" t="s">
        <v>17</v>
      </c>
      <c r="C63" s="1150" t="s">
        <v>399</v>
      </c>
      <c r="D63" s="1162" t="s">
        <v>679</v>
      </c>
      <c r="E63" s="1152" t="s">
        <v>680</v>
      </c>
      <c r="F63" s="1211" t="s">
        <v>43</v>
      </c>
      <c r="G63" s="1021" t="s">
        <v>224</v>
      </c>
      <c r="H63" s="841"/>
      <c r="I63" s="842"/>
      <c r="J63" s="842"/>
      <c r="K63" s="1032"/>
      <c r="L63" s="584"/>
      <c r="M63" s="585"/>
      <c r="N63" s="585"/>
      <c r="O63" s="586"/>
      <c r="P63" s="612"/>
      <c r="Q63" s="612"/>
      <c r="R63" s="1156" t="s">
        <v>681</v>
      </c>
      <c r="S63" s="1034"/>
      <c r="T63" s="1035">
        <v>1</v>
      </c>
      <c r="U63" s="1036"/>
      <c r="V63" s="1014"/>
      <c r="W63" s="1019"/>
      <c r="X63" s="231"/>
    </row>
    <row r="64" spans="1:26" ht="18.75" hidden="1" customHeight="1" outlineLevel="1" x14ac:dyDescent="0.2">
      <c r="A64" s="1159"/>
      <c r="B64" s="1160"/>
      <c r="C64" s="1161"/>
      <c r="D64" s="1163"/>
      <c r="E64" s="1164"/>
      <c r="F64" s="1212"/>
      <c r="G64" s="602" t="s">
        <v>13</v>
      </c>
      <c r="H64" s="581">
        <f>SUM(H63:H63)</f>
        <v>0</v>
      </c>
      <c r="I64" s="282">
        <f>SUM(I63:I63)</f>
        <v>0</v>
      </c>
      <c r="J64" s="282">
        <f>SUM(J63:J63)</f>
        <v>0</v>
      </c>
      <c r="K64" s="582">
        <f>SUM(K63:K63)</f>
        <v>0</v>
      </c>
      <c r="L64" s="1015">
        <f t="shared" ref="L64:Q64" si="9">SUM(L63:L63)</f>
        <v>0</v>
      </c>
      <c r="M64" s="1007">
        <f t="shared" si="9"/>
        <v>0</v>
      </c>
      <c r="N64" s="1007">
        <f t="shared" si="9"/>
        <v>0</v>
      </c>
      <c r="O64" s="1016">
        <f t="shared" si="9"/>
        <v>0</v>
      </c>
      <c r="P64" s="583">
        <f t="shared" si="9"/>
        <v>0</v>
      </c>
      <c r="Q64" s="583">
        <f t="shared" si="9"/>
        <v>0</v>
      </c>
      <c r="R64" s="1158"/>
      <c r="S64" s="608">
        <f>SUM(S63)</f>
        <v>0</v>
      </c>
      <c r="T64" s="614">
        <f>SUM(T63)</f>
        <v>1</v>
      </c>
      <c r="U64" s="1026">
        <f>SUM(U63)</f>
        <v>0</v>
      </c>
      <c r="V64" s="1014"/>
      <c r="W64" s="1014"/>
      <c r="X64" s="231"/>
    </row>
    <row r="65" spans="1:26" ht="20.25" hidden="1" customHeight="1" outlineLevel="1" x14ac:dyDescent="0.2">
      <c r="A65" s="1124" t="s">
        <v>17</v>
      </c>
      <c r="B65" s="1126" t="s">
        <v>17</v>
      </c>
      <c r="C65" s="1150" t="s">
        <v>400</v>
      </c>
      <c r="D65" s="1162" t="s">
        <v>679</v>
      </c>
      <c r="E65" s="1152" t="s">
        <v>680</v>
      </c>
      <c r="F65" s="1154" t="s">
        <v>91</v>
      </c>
      <c r="G65" s="1021" t="s">
        <v>224</v>
      </c>
      <c r="H65" s="841"/>
      <c r="I65" s="842"/>
      <c r="J65" s="842"/>
      <c r="K65" s="1032"/>
      <c r="L65" s="584"/>
      <c r="M65" s="585"/>
      <c r="N65" s="585"/>
      <c r="O65" s="586"/>
      <c r="P65" s="612"/>
      <c r="Q65" s="1033"/>
      <c r="R65" s="1156" t="s">
        <v>681</v>
      </c>
      <c r="S65" s="1034"/>
      <c r="T65" s="1035"/>
      <c r="U65" s="1036"/>
      <c r="V65" s="1014"/>
      <c r="W65" s="1019"/>
      <c r="X65" s="231"/>
    </row>
    <row r="66" spans="1:26" ht="18.75" hidden="1" customHeight="1" outlineLevel="1" x14ac:dyDescent="0.2">
      <c r="A66" s="1159"/>
      <c r="B66" s="1160"/>
      <c r="C66" s="1161"/>
      <c r="D66" s="1163"/>
      <c r="E66" s="1164"/>
      <c r="F66" s="1165"/>
      <c r="G66" s="602" t="s">
        <v>13</v>
      </c>
      <c r="H66" s="581">
        <f>SUM(H65:H65)</f>
        <v>0</v>
      </c>
      <c r="I66" s="282">
        <f>SUM(I65:I65)</f>
        <v>0</v>
      </c>
      <c r="J66" s="282">
        <f>SUM(J65:J65)</f>
        <v>0</v>
      </c>
      <c r="K66" s="582">
        <f>SUM(K65:K65)</f>
        <v>0</v>
      </c>
      <c r="L66" s="1015">
        <f t="shared" ref="L66:Q66" si="10">SUM(L65:L65)</f>
        <v>0</v>
      </c>
      <c r="M66" s="1007">
        <f t="shared" si="10"/>
        <v>0</v>
      </c>
      <c r="N66" s="1007">
        <f t="shared" si="10"/>
        <v>0</v>
      </c>
      <c r="O66" s="1016">
        <f t="shared" si="10"/>
        <v>0</v>
      </c>
      <c r="P66" s="583">
        <f t="shared" si="10"/>
        <v>0</v>
      </c>
      <c r="Q66" s="583">
        <f t="shared" si="10"/>
        <v>0</v>
      </c>
      <c r="R66" s="1158"/>
      <c r="S66" s="608">
        <f>SUM(S65)</f>
        <v>0</v>
      </c>
      <c r="T66" s="614">
        <f>SUM(T65)</f>
        <v>0</v>
      </c>
      <c r="U66" s="1026">
        <f>SUM(U65)</f>
        <v>0</v>
      </c>
      <c r="V66" s="1014"/>
      <c r="W66" s="1014"/>
      <c r="X66" s="231"/>
    </row>
    <row r="67" spans="1:26" ht="20.25" hidden="1" customHeight="1" outlineLevel="1" x14ac:dyDescent="0.2">
      <c r="A67" s="1124" t="s">
        <v>17</v>
      </c>
      <c r="B67" s="1126" t="s">
        <v>17</v>
      </c>
      <c r="C67" s="1150" t="s">
        <v>401</v>
      </c>
      <c r="D67" s="1162" t="s">
        <v>679</v>
      </c>
      <c r="E67" s="1152" t="s">
        <v>680</v>
      </c>
      <c r="F67" s="1154" t="s">
        <v>92</v>
      </c>
      <c r="G67" s="1021" t="s">
        <v>224</v>
      </c>
      <c r="H67" s="841"/>
      <c r="I67" s="842"/>
      <c r="J67" s="842"/>
      <c r="K67" s="1032"/>
      <c r="L67" s="584"/>
      <c r="M67" s="585"/>
      <c r="N67" s="585"/>
      <c r="O67" s="586"/>
      <c r="P67" s="612"/>
      <c r="Q67" s="1033"/>
      <c r="R67" s="1156" t="s">
        <v>681</v>
      </c>
      <c r="S67" s="1034"/>
      <c r="T67" s="1035"/>
      <c r="U67" s="1036"/>
      <c r="V67" s="1014"/>
      <c r="W67" s="1019"/>
      <c r="X67" s="231"/>
    </row>
    <row r="68" spans="1:26" ht="18.75" hidden="1" customHeight="1" outlineLevel="1" x14ac:dyDescent="0.2">
      <c r="A68" s="1159"/>
      <c r="B68" s="1160"/>
      <c r="C68" s="1161"/>
      <c r="D68" s="1163"/>
      <c r="E68" s="1164"/>
      <c r="F68" s="1165"/>
      <c r="G68" s="602" t="s">
        <v>13</v>
      </c>
      <c r="H68" s="581">
        <f>SUM(H67:H67)</f>
        <v>0</v>
      </c>
      <c r="I68" s="282">
        <f>SUM(I67:I67)</f>
        <v>0</v>
      </c>
      <c r="J68" s="282">
        <f>SUM(J67:J67)</f>
        <v>0</v>
      </c>
      <c r="K68" s="582">
        <f>SUM(K67:K67)</f>
        <v>0</v>
      </c>
      <c r="L68" s="1015">
        <f t="shared" ref="L68:Q68" si="11">SUM(L67:L67)</f>
        <v>0</v>
      </c>
      <c r="M68" s="1007">
        <f t="shared" si="11"/>
        <v>0</v>
      </c>
      <c r="N68" s="1007">
        <f t="shared" si="11"/>
        <v>0</v>
      </c>
      <c r="O68" s="1016">
        <f t="shared" si="11"/>
        <v>0</v>
      </c>
      <c r="P68" s="583">
        <f t="shared" si="11"/>
        <v>0</v>
      </c>
      <c r="Q68" s="583">
        <f t="shared" si="11"/>
        <v>0</v>
      </c>
      <c r="R68" s="1158"/>
      <c r="S68" s="608">
        <f>SUM(S67)</f>
        <v>0</v>
      </c>
      <c r="T68" s="614">
        <f>SUM(T67)</f>
        <v>0</v>
      </c>
      <c r="U68" s="1026">
        <f>SUM(U67)</f>
        <v>0</v>
      </c>
      <c r="V68" s="1014"/>
      <c r="W68" s="1014"/>
      <c r="X68" s="231"/>
    </row>
    <row r="69" spans="1:26" ht="20.25" hidden="1" customHeight="1" outlineLevel="1" x14ac:dyDescent="0.2">
      <c r="A69" s="1124" t="s">
        <v>17</v>
      </c>
      <c r="B69" s="1126" t="s">
        <v>17</v>
      </c>
      <c r="C69" s="1150" t="s">
        <v>402</v>
      </c>
      <c r="D69" s="1162" t="s">
        <v>679</v>
      </c>
      <c r="E69" s="1152" t="s">
        <v>680</v>
      </c>
      <c r="F69" s="1154" t="s">
        <v>115</v>
      </c>
      <c r="G69" s="1021" t="s">
        <v>224</v>
      </c>
      <c r="H69" s="841"/>
      <c r="I69" s="842"/>
      <c r="J69" s="842"/>
      <c r="K69" s="1032"/>
      <c r="L69" s="584"/>
      <c r="M69" s="585"/>
      <c r="N69" s="585"/>
      <c r="O69" s="586"/>
      <c r="P69" s="612"/>
      <c r="Q69" s="1033"/>
      <c r="R69" s="1156" t="s">
        <v>681</v>
      </c>
      <c r="S69" s="1034"/>
      <c r="T69" s="1035"/>
      <c r="U69" s="1036"/>
      <c r="V69" s="1014"/>
      <c r="W69" s="1019"/>
      <c r="X69" s="231"/>
    </row>
    <row r="70" spans="1:26" ht="18.75" hidden="1" customHeight="1" outlineLevel="1" x14ac:dyDescent="0.2">
      <c r="A70" s="1159"/>
      <c r="B70" s="1160"/>
      <c r="C70" s="1161"/>
      <c r="D70" s="1163"/>
      <c r="E70" s="1164"/>
      <c r="F70" s="1165"/>
      <c r="G70" s="602" t="s">
        <v>13</v>
      </c>
      <c r="H70" s="581">
        <f>SUM(H69:H69)</f>
        <v>0</v>
      </c>
      <c r="I70" s="282">
        <f>SUM(I69:I69)</f>
        <v>0</v>
      </c>
      <c r="J70" s="282">
        <f>SUM(J69:J69)</f>
        <v>0</v>
      </c>
      <c r="K70" s="582">
        <f>SUM(K69:K69)</f>
        <v>0</v>
      </c>
      <c r="L70" s="1015">
        <f t="shared" ref="L70:Q70" si="12">SUM(L69:L69)</f>
        <v>0</v>
      </c>
      <c r="M70" s="1007">
        <f t="shared" si="12"/>
        <v>0</v>
      </c>
      <c r="N70" s="1007">
        <f t="shared" si="12"/>
        <v>0</v>
      </c>
      <c r="O70" s="1016">
        <f t="shared" si="12"/>
        <v>0</v>
      </c>
      <c r="P70" s="583">
        <f t="shared" si="12"/>
        <v>0</v>
      </c>
      <c r="Q70" s="583">
        <f t="shared" si="12"/>
        <v>0</v>
      </c>
      <c r="R70" s="1158"/>
      <c r="S70" s="608">
        <f>SUM(S69)</f>
        <v>0</v>
      </c>
      <c r="T70" s="614">
        <f>SUM(T69)</f>
        <v>0</v>
      </c>
      <c r="U70" s="1026">
        <f>SUM(U69)</f>
        <v>0</v>
      </c>
      <c r="V70" s="1014"/>
      <c r="W70" s="1014"/>
      <c r="X70" s="231"/>
    </row>
    <row r="71" spans="1:26" ht="20.25" hidden="1" customHeight="1" outlineLevel="1" x14ac:dyDescent="0.2">
      <c r="A71" s="1124" t="s">
        <v>17</v>
      </c>
      <c r="B71" s="1126" t="s">
        <v>17</v>
      </c>
      <c r="C71" s="1150" t="s">
        <v>403</v>
      </c>
      <c r="D71" s="1162" t="s">
        <v>679</v>
      </c>
      <c r="E71" s="1152" t="s">
        <v>680</v>
      </c>
      <c r="F71" s="1154" t="s">
        <v>93</v>
      </c>
      <c r="G71" s="1021" t="s">
        <v>224</v>
      </c>
      <c r="H71" s="841"/>
      <c r="I71" s="842"/>
      <c r="J71" s="842"/>
      <c r="K71" s="1032"/>
      <c r="L71" s="584"/>
      <c r="M71" s="585"/>
      <c r="N71" s="585"/>
      <c r="O71" s="586"/>
      <c r="P71" s="612"/>
      <c r="Q71" s="1033"/>
      <c r="R71" s="1156" t="s">
        <v>681</v>
      </c>
      <c r="S71" s="1034"/>
      <c r="T71" s="1035"/>
      <c r="U71" s="1036"/>
      <c r="V71" s="1014"/>
      <c r="W71" s="1019"/>
      <c r="X71" s="231"/>
    </row>
    <row r="72" spans="1:26" ht="18.75" hidden="1" customHeight="1" outlineLevel="1" x14ac:dyDescent="0.2">
      <c r="A72" s="1159"/>
      <c r="B72" s="1160"/>
      <c r="C72" s="1161"/>
      <c r="D72" s="1163"/>
      <c r="E72" s="1164"/>
      <c r="F72" s="1165"/>
      <c r="G72" s="602" t="s">
        <v>13</v>
      </c>
      <c r="H72" s="581">
        <f>SUM(H71:H71)</f>
        <v>0</v>
      </c>
      <c r="I72" s="282">
        <f>SUM(I71:I71)</f>
        <v>0</v>
      </c>
      <c r="J72" s="282">
        <f>SUM(J71:J71)</f>
        <v>0</v>
      </c>
      <c r="K72" s="582">
        <f>SUM(K71:K71)</f>
        <v>0</v>
      </c>
      <c r="L72" s="1015">
        <f t="shared" ref="L72:Q72" si="13">SUM(L71:L71)</f>
        <v>0</v>
      </c>
      <c r="M72" s="1007">
        <f t="shared" si="13"/>
        <v>0</v>
      </c>
      <c r="N72" s="1007">
        <f t="shared" si="13"/>
        <v>0</v>
      </c>
      <c r="O72" s="1016">
        <f t="shared" si="13"/>
        <v>0</v>
      </c>
      <c r="P72" s="583">
        <f t="shared" si="13"/>
        <v>0</v>
      </c>
      <c r="Q72" s="583">
        <f t="shared" si="13"/>
        <v>0</v>
      </c>
      <c r="R72" s="1158"/>
      <c r="S72" s="608">
        <f>SUM(S71)</f>
        <v>0</v>
      </c>
      <c r="T72" s="614">
        <f>SUM(T71)</f>
        <v>0</v>
      </c>
      <c r="U72" s="1026">
        <f>SUM(U71)</f>
        <v>0</v>
      </c>
      <c r="V72" s="1014"/>
      <c r="W72" s="1014"/>
      <c r="X72" s="231"/>
    </row>
    <row r="73" spans="1:26" ht="20.25" hidden="1" customHeight="1" outlineLevel="1" x14ac:dyDescent="0.2">
      <c r="A73" s="1124" t="s">
        <v>17</v>
      </c>
      <c r="B73" s="1126" t="s">
        <v>17</v>
      </c>
      <c r="C73" s="1150" t="s">
        <v>404</v>
      </c>
      <c r="D73" s="1162" t="s">
        <v>679</v>
      </c>
      <c r="E73" s="1152" t="s">
        <v>680</v>
      </c>
      <c r="F73" s="1154" t="s">
        <v>94</v>
      </c>
      <c r="G73" s="1021" t="s">
        <v>224</v>
      </c>
      <c r="H73" s="841"/>
      <c r="I73" s="842"/>
      <c r="J73" s="842"/>
      <c r="K73" s="1032"/>
      <c r="L73" s="584"/>
      <c r="M73" s="585"/>
      <c r="N73" s="585"/>
      <c r="O73" s="586"/>
      <c r="P73" s="612"/>
      <c r="Q73" s="1033"/>
      <c r="R73" s="1156" t="s">
        <v>681</v>
      </c>
      <c r="S73" s="1034"/>
      <c r="T73" s="1035"/>
      <c r="U73" s="1036"/>
      <c r="V73" s="1014"/>
      <c r="W73" s="1019"/>
      <c r="X73" s="231"/>
    </row>
    <row r="74" spans="1:26" ht="18.75" hidden="1" customHeight="1" outlineLevel="1" x14ac:dyDescent="0.2">
      <c r="A74" s="1159"/>
      <c r="B74" s="1160"/>
      <c r="C74" s="1161"/>
      <c r="D74" s="1163"/>
      <c r="E74" s="1164"/>
      <c r="F74" s="1165"/>
      <c r="G74" s="602" t="s">
        <v>13</v>
      </c>
      <c r="H74" s="581">
        <f>SUM(H73:H73)</f>
        <v>0</v>
      </c>
      <c r="I74" s="282">
        <f>SUM(I73:I73)</f>
        <v>0</v>
      </c>
      <c r="J74" s="282">
        <f>SUM(J73:J73)</f>
        <v>0</v>
      </c>
      <c r="K74" s="582">
        <f>SUM(K73:K73)</f>
        <v>0</v>
      </c>
      <c r="L74" s="1015">
        <f t="shared" ref="L74:Q74" si="14">SUM(L73:L73)</f>
        <v>0</v>
      </c>
      <c r="M74" s="1007">
        <f t="shared" si="14"/>
        <v>0</v>
      </c>
      <c r="N74" s="1007">
        <f t="shared" si="14"/>
        <v>0</v>
      </c>
      <c r="O74" s="1016">
        <f t="shared" si="14"/>
        <v>0</v>
      </c>
      <c r="P74" s="583">
        <f t="shared" si="14"/>
        <v>0</v>
      </c>
      <c r="Q74" s="583">
        <f t="shared" si="14"/>
        <v>0</v>
      </c>
      <c r="R74" s="1158"/>
      <c r="S74" s="608">
        <f>SUM(S73)</f>
        <v>0</v>
      </c>
      <c r="T74" s="614">
        <f>SUM(T73)</f>
        <v>0</v>
      </c>
      <c r="U74" s="1026">
        <f>SUM(U73)</f>
        <v>0</v>
      </c>
      <c r="V74" s="1014"/>
      <c r="W74" s="1014"/>
      <c r="X74" s="231"/>
    </row>
    <row r="75" spans="1:26" ht="20.25" hidden="1" customHeight="1" outlineLevel="1" x14ac:dyDescent="0.2">
      <c r="A75" s="1124" t="s">
        <v>17</v>
      </c>
      <c r="B75" s="1126" t="s">
        <v>17</v>
      </c>
      <c r="C75" s="1150" t="s">
        <v>405</v>
      </c>
      <c r="D75" s="1162" t="s">
        <v>679</v>
      </c>
      <c r="E75" s="1152" t="s">
        <v>680</v>
      </c>
      <c r="F75" s="1211" t="s">
        <v>95</v>
      </c>
      <c r="G75" s="1021" t="s">
        <v>224</v>
      </c>
      <c r="H75" s="841">
        <v>0.9</v>
      </c>
      <c r="I75" s="842">
        <v>0.9</v>
      </c>
      <c r="J75" s="842"/>
      <c r="K75" s="1032"/>
      <c r="L75" s="584">
        <v>0.9</v>
      </c>
      <c r="M75" s="585">
        <v>0.9</v>
      </c>
      <c r="N75" s="585"/>
      <c r="O75" s="586"/>
      <c r="P75" s="612">
        <v>3</v>
      </c>
      <c r="Q75" s="612">
        <v>3</v>
      </c>
      <c r="R75" s="1156" t="s">
        <v>681</v>
      </c>
      <c r="S75" s="1034">
        <v>1</v>
      </c>
      <c r="T75" s="1035">
        <v>1</v>
      </c>
      <c r="U75" s="1036"/>
      <c r="V75" s="1014"/>
      <c r="W75" s="1019"/>
      <c r="X75" s="231"/>
    </row>
    <row r="76" spans="1:26" ht="18.75" hidden="1" customHeight="1" outlineLevel="1" x14ac:dyDescent="0.2">
      <c r="A76" s="1159"/>
      <c r="B76" s="1160"/>
      <c r="C76" s="1161"/>
      <c r="D76" s="1163"/>
      <c r="E76" s="1164"/>
      <c r="F76" s="1212"/>
      <c r="G76" s="602" t="s">
        <v>13</v>
      </c>
      <c r="H76" s="581">
        <f>SUM(H75:H75)</f>
        <v>0.9</v>
      </c>
      <c r="I76" s="282">
        <f>SUM(I75:I75)</f>
        <v>0.9</v>
      </c>
      <c r="J76" s="282">
        <f>SUM(J75:J75)</f>
        <v>0</v>
      </c>
      <c r="K76" s="582">
        <f>SUM(K75:K75)</f>
        <v>0</v>
      </c>
      <c r="L76" s="1015">
        <f t="shared" ref="L76:Q76" si="15">SUM(L75:L75)</f>
        <v>0.9</v>
      </c>
      <c r="M76" s="1007">
        <f t="shared" si="15"/>
        <v>0.9</v>
      </c>
      <c r="N76" s="1007">
        <f t="shared" si="15"/>
        <v>0</v>
      </c>
      <c r="O76" s="1016">
        <f t="shared" si="15"/>
        <v>0</v>
      </c>
      <c r="P76" s="583">
        <f t="shared" si="15"/>
        <v>3</v>
      </c>
      <c r="Q76" s="583">
        <f t="shared" si="15"/>
        <v>3</v>
      </c>
      <c r="R76" s="1158"/>
      <c r="S76" s="608">
        <f>SUM(S75)</f>
        <v>1</v>
      </c>
      <c r="T76" s="614">
        <f>SUM(T75)</f>
        <v>1</v>
      </c>
      <c r="U76" s="1026">
        <f>SUM(U75)</f>
        <v>0</v>
      </c>
      <c r="V76" s="1014"/>
      <c r="W76" s="1014"/>
      <c r="X76" s="231"/>
    </row>
    <row r="77" spans="1:26" ht="20.25" customHeight="1" collapsed="1" x14ac:dyDescent="0.2">
      <c r="A77" s="1124" t="s">
        <v>17</v>
      </c>
      <c r="B77" s="1126" t="s">
        <v>17</v>
      </c>
      <c r="C77" s="1150" t="s">
        <v>22</v>
      </c>
      <c r="D77" s="1162" t="s">
        <v>682</v>
      </c>
      <c r="E77" s="1152" t="s">
        <v>683</v>
      </c>
      <c r="F77" s="1208" t="s">
        <v>19</v>
      </c>
      <c r="G77" s="1021" t="s">
        <v>224</v>
      </c>
      <c r="H77" s="971"/>
      <c r="I77" s="972"/>
      <c r="J77" s="585"/>
      <c r="K77" s="1032"/>
      <c r="L77" s="971"/>
      <c r="M77" s="972"/>
      <c r="N77" s="585"/>
      <c r="O77" s="586"/>
      <c r="P77" s="981"/>
      <c r="Q77" s="981"/>
      <c r="R77" s="1156" t="s">
        <v>684</v>
      </c>
      <c r="S77" s="965">
        <v>1</v>
      </c>
      <c r="T77" s="963">
        <v>1</v>
      </c>
      <c r="U77" s="1037"/>
      <c r="V77" s="490"/>
      <c r="W77" s="593"/>
      <c r="X77" s="1003"/>
      <c r="Y77" s="490"/>
      <c r="Z77" s="490"/>
    </row>
    <row r="78" spans="1:26" ht="18.75" customHeight="1" x14ac:dyDescent="0.2">
      <c r="A78" s="1159"/>
      <c r="B78" s="1160"/>
      <c r="C78" s="1161"/>
      <c r="D78" s="1163"/>
      <c r="E78" s="1196"/>
      <c r="F78" s="1210"/>
      <c r="G78" s="602" t="s">
        <v>13</v>
      </c>
      <c r="H78" s="581">
        <f>SUM(H77:H77)</f>
        <v>0</v>
      </c>
      <c r="I78" s="282">
        <f>SUM(I77:I77)</f>
        <v>0</v>
      </c>
      <c r="J78" s="282">
        <f>SUM(J77:J77)</f>
        <v>0</v>
      </c>
      <c r="K78" s="582">
        <f>SUM(K77:K77)</f>
        <v>0</v>
      </c>
      <c r="L78" s="1015">
        <f t="shared" ref="L78:Q78" si="16">SUM(L77:L77)</f>
        <v>0</v>
      </c>
      <c r="M78" s="1007">
        <f t="shared" si="16"/>
        <v>0</v>
      </c>
      <c r="N78" s="1007">
        <f t="shared" si="16"/>
        <v>0</v>
      </c>
      <c r="O78" s="1016">
        <f t="shared" si="16"/>
        <v>0</v>
      </c>
      <c r="P78" s="583">
        <f t="shared" si="16"/>
        <v>0</v>
      </c>
      <c r="Q78" s="583">
        <f t="shared" si="16"/>
        <v>0</v>
      </c>
      <c r="R78" s="1158"/>
      <c r="S78" s="608">
        <f>SUM(S77)</f>
        <v>1</v>
      </c>
      <c r="T78" s="614">
        <f>SUM(T77)</f>
        <v>1</v>
      </c>
      <c r="U78" s="1026"/>
      <c r="V78" s="1014"/>
      <c r="W78" s="1014"/>
      <c r="X78" s="231"/>
    </row>
    <row r="79" spans="1:26" ht="20.25" customHeight="1" x14ac:dyDescent="0.2">
      <c r="A79" s="1124" t="s">
        <v>17</v>
      </c>
      <c r="B79" s="1126" t="s">
        <v>17</v>
      </c>
      <c r="C79" s="1150" t="s">
        <v>378</v>
      </c>
      <c r="D79" s="1162" t="s">
        <v>685</v>
      </c>
      <c r="E79" s="1152" t="s">
        <v>686</v>
      </c>
      <c r="F79" s="1154" t="s">
        <v>17</v>
      </c>
      <c r="G79" s="1021" t="s">
        <v>224</v>
      </c>
      <c r="H79" s="1038">
        <v>5.3</v>
      </c>
      <c r="I79" s="1039">
        <v>5.3</v>
      </c>
      <c r="J79" s="585"/>
      <c r="K79" s="1032"/>
      <c r="L79" s="1038">
        <v>5.3</v>
      </c>
      <c r="M79" s="1039">
        <v>5.3</v>
      </c>
      <c r="N79" s="585"/>
      <c r="O79" s="586"/>
      <c r="P79" s="612">
        <v>5.3</v>
      </c>
      <c r="Q79" s="612">
        <v>5.3</v>
      </c>
      <c r="R79" s="1156" t="s">
        <v>687</v>
      </c>
      <c r="S79" s="1034">
        <v>100</v>
      </c>
      <c r="T79" s="1035">
        <v>100</v>
      </c>
      <c r="U79" s="1029"/>
      <c r="V79" s="1014"/>
      <c r="W79" s="1019"/>
      <c r="X79" s="231"/>
    </row>
    <row r="80" spans="1:26" ht="18.75" customHeight="1" x14ac:dyDescent="0.2">
      <c r="A80" s="1159"/>
      <c r="B80" s="1160"/>
      <c r="C80" s="1161"/>
      <c r="D80" s="1163"/>
      <c r="E80" s="1164"/>
      <c r="F80" s="1165"/>
      <c r="G80" s="602" t="s">
        <v>13</v>
      </c>
      <c r="H80" s="581">
        <f>SUM(H79:H79)</f>
        <v>5.3</v>
      </c>
      <c r="I80" s="282">
        <f>SUM(I79:I79)</f>
        <v>5.3</v>
      </c>
      <c r="J80" s="282">
        <f>SUM(J79:J79)</f>
        <v>0</v>
      </c>
      <c r="K80" s="582">
        <f>SUM(K79:K79)</f>
        <v>0</v>
      </c>
      <c r="L80" s="1015">
        <f t="shared" ref="L80:Q80" si="17">SUM(L79:L79)</f>
        <v>5.3</v>
      </c>
      <c r="M80" s="1007">
        <f t="shared" si="17"/>
        <v>5.3</v>
      </c>
      <c r="N80" s="1007">
        <f t="shared" si="17"/>
        <v>0</v>
      </c>
      <c r="O80" s="1016">
        <f t="shared" si="17"/>
        <v>0</v>
      </c>
      <c r="P80" s="583">
        <f t="shared" si="17"/>
        <v>5.3</v>
      </c>
      <c r="Q80" s="583">
        <f t="shared" si="17"/>
        <v>5.3</v>
      </c>
      <c r="R80" s="1158"/>
      <c r="S80" s="608">
        <f>SUM(S79)</f>
        <v>100</v>
      </c>
      <c r="T80" s="614">
        <f>SUM(T79)</f>
        <v>100</v>
      </c>
      <c r="U80" s="1026"/>
      <c r="V80" s="1014"/>
      <c r="W80" s="1014"/>
      <c r="X80" s="231"/>
    </row>
    <row r="81" spans="1:116" ht="20.25" customHeight="1" x14ac:dyDescent="0.2">
      <c r="A81" s="1124" t="s">
        <v>17</v>
      </c>
      <c r="B81" s="1126" t="s">
        <v>17</v>
      </c>
      <c r="C81" s="1150" t="s">
        <v>415</v>
      </c>
      <c r="D81" s="1162" t="s">
        <v>688</v>
      </c>
      <c r="E81" s="1152" t="s">
        <v>689</v>
      </c>
      <c r="F81" s="1154" t="s">
        <v>17</v>
      </c>
      <c r="G81" s="1021" t="s">
        <v>224</v>
      </c>
      <c r="H81" s="1038">
        <v>5.8</v>
      </c>
      <c r="I81" s="1039">
        <v>5.8</v>
      </c>
      <c r="J81" s="585"/>
      <c r="K81" s="1032"/>
      <c r="L81" s="1038">
        <v>5.8</v>
      </c>
      <c r="M81" s="1039">
        <v>5.8</v>
      </c>
      <c r="N81" s="585"/>
      <c r="O81" s="586"/>
      <c r="P81" s="497">
        <v>5.8</v>
      </c>
      <c r="Q81" s="497">
        <v>5.8</v>
      </c>
      <c r="R81" s="1156" t="s">
        <v>690</v>
      </c>
      <c r="S81" s="1034">
        <v>100</v>
      </c>
      <c r="T81" s="1035">
        <v>100</v>
      </c>
      <c r="U81" s="1022"/>
      <c r="V81" s="1014"/>
      <c r="W81" s="1019"/>
      <c r="X81" s="231"/>
      <c r="AE81" s="1004"/>
    </row>
    <row r="82" spans="1:116" ht="18.75" customHeight="1" x14ac:dyDescent="0.2">
      <c r="A82" s="1159"/>
      <c r="B82" s="1160"/>
      <c r="C82" s="1161"/>
      <c r="D82" s="1163"/>
      <c r="E82" s="1164"/>
      <c r="F82" s="1165"/>
      <c r="G82" s="602" t="s">
        <v>13</v>
      </c>
      <c r="H82" s="581">
        <f>SUM(H81:H81)</f>
        <v>5.8</v>
      </c>
      <c r="I82" s="282">
        <f>SUM(I81:I81)</f>
        <v>5.8</v>
      </c>
      <c r="J82" s="282">
        <f>SUM(J81:J81)</f>
        <v>0</v>
      </c>
      <c r="K82" s="582">
        <f>SUM(K81:K81)</f>
        <v>0</v>
      </c>
      <c r="L82" s="1015">
        <f t="shared" ref="L82:Q82" si="18">SUM(L81:L81)</f>
        <v>5.8</v>
      </c>
      <c r="M82" s="1007">
        <f t="shared" si="18"/>
        <v>5.8</v>
      </c>
      <c r="N82" s="1007">
        <f t="shared" si="18"/>
        <v>0</v>
      </c>
      <c r="O82" s="1016">
        <f t="shared" si="18"/>
        <v>0</v>
      </c>
      <c r="P82" s="1040">
        <f t="shared" si="18"/>
        <v>5.8</v>
      </c>
      <c r="Q82" s="583">
        <f t="shared" si="18"/>
        <v>5.8</v>
      </c>
      <c r="R82" s="1158"/>
      <c r="S82" s="608">
        <f>SUM(S81)</f>
        <v>100</v>
      </c>
      <c r="T82" s="614">
        <f>SUM(T81)</f>
        <v>100</v>
      </c>
      <c r="U82" s="1026"/>
      <c r="V82" s="1014"/>
      <c r="W82" s="1014"/>
      <c r="X82" s="231"/>
      <c r="AE82" s="1004"/>
    </row>
    <row r="83" spans="1:116" ht="18.75" customHeight="1" x14ac:dyDescent="0.2">
      <c r="A83" s="1124" t="s">
        <v>17</v>
      </c>
      <c r="B83" s="1126" t="s">
        <v>17</v>
      </c>
      <c r="C83" s="1205" t="s">
        <v>315</v>
      </c>
      <c r="D83" s="1130" t="s">
        <v>691</v>
      </c>
      <c r="E83" s="1132" t="s">
        <v>689</v>
      </c>
      <c r="F83" s="1208" t="s">
        <v>17</v>
      </c>
      <c r="G83" s="976" t="s">
        <v>224</v>
      </c>
      <c r="H83" s="1038"/>
      <c r="I83" s="1039"/>
      <c r="J83" s="585"/>
      <c r="K83" s="586"/>
      <c r="L83" s="1038"/>
      <c r="M83" s="1039"/>
      <c r="N83" s="585"/>
      <c r="O83" s="586"/>
      <c r="P83" s="511"/>
      <c r="Q83" s="511"/>
      <c r="R83" s="1203" t="s">
        <v>692</v>
      </c>
      <c r="S83" s="1034"/>
      <c r="T83" s="1035"/>
      <c r="U83" s="1022"/>
      <c r="V83" s="1014"/>
      <c r="W83" s="1014"/>
      <c r="X83" s="231"/>
      <c r="AE83" s="1004"/>
    </row>
    <row r="84" spans="1:116" ht="18.75" customHeight="1" x14ac:dyDescent="0.2">
      <c r="A84" s="1159"/>
      <c r="B84" s="1160"/>
      <c r="C84" s="1206"/>
      <c r="D84" s="1195"/>
      <c r="E84" s="1207"/>
      <c r="F84" s="1209"/>
      <c r="G84" s="1041" t="s">
        <v>13</v>
      </c>
      <c r="H84" s="1042">
        <f>SUM(H83:H83)</f>
        <v>0</v>
      </c>
      <c r="I84" s="1043">
        <f>SUM(I83:I83)</f>
        <v>0</v>
      </c>
      <c r="J84" s="1043">
        <f>SUM(J83:J83)</f>
        <v>0</v>
      </c>
      <c r="K84" s="1044">
        <f>SUM(K83:K83)</f>
        <v>0</v>
      </c>
      <c r="L84" s="1045">
        <f t="shared" ref="L84:Q84" si="19">SUM(L83:L83)</f>
        <v>0</v>
      </c>
      <c r="M84" s="1046">
        <f t="shared" si="19"/>
        <v>0</v>
      </c>
      <c r="N84" s="1046">
        <f t="shared" si="19"/>
        <v>0</v>
      </c>
      <c r="O84" s="1047">
        <f t="shared" si="19"/>
        <v>0</v>
      </c>
      <c r="P84" s="1048">
        <f t="shared" si="19"/>
        <v>0</v>
      </c>
      <c r="Q84" s="1048">
        <f t="shared" si="19"/>
        <v>0</v>
      </c>
      <c r="R84" s="1204"/>
      <c r="S84" s="1049">
        <f>SUM(S83)</f>
        <v>0</v>
      </c>
      <c r="T84" s="1050">
        <f>SUM(T83)</f>
        <v>0</v>
      </c>
      <c r="U84" s="1051">
        <f>SUM(U83)</f>
        <v>0</v>
      </c>
      <c r="V84" s="1014"/>
      <c r="W84" s="1014"/>
      <c r="X84" s="231"/>
      <c r="AE84" s="1004"/>
    </row>
    <row r="85" spans="1:116" ht="20.25" customHeight="1" x14ac:dyDescent="0.2">
      <c r="A85" s="1124" t="s">
        <v>17</v>
      </c>
      <c r="B85" s="1126" t="s">
        <v>17</v>
      </c>
      <c r="C85" s="1205" t="s">
        <v>31</v>
      </c>
      <c r="D85" s="1130" t="s">
        <v>693</v>
      </c>
      <c r="E85" s="1132" t="s">
        <v>77</v>
      </c>
      <c r="F85" s="1208" t="s">
        <v>17</v>
      </c>
      <c r="G85" s="976" t="s">
        <v>73</v>
      </c>
      <c r="H85" s="1038">
        <v>3.4</v>
      </c>
      <c r="I85" s="1039">
        <v>3.4</v>
      </c>
      <c r="J85" s="585"/>
      <c r="K85" s="586"/>
      <c r="L85" s="1038">
        <v>3.4</v>
      </c>
      <c r="M85" s="1039">
        <v>3.4</v>
      </c>
      <c r="N85" s="585"/>
      <c r="O85" s="586"/>
      <c r="P85" s="511"/>
      <c r="Q85" s="511"/>
      <c r="R85" s="1203" t="s">
        <v>692</v>
      </c>
      <c r="S85" s="1034">
        <v>100</v>
      </c>
      <c r="T85" s="1035">
        <v>100</v>
      </c>
      <c r="U85" s="1022"/>
      <c r="V85" s="1014"/>
      <c r="W85" s="1019"/>
      <c r="X85" s="231"/>
      <c r="AE85" s="1004"/>
    </row>
    <row r="86" spans="1:116" ht="18.75" customHeight="1" thickBot="1" x14ac:dyDescent="0.25">
      <c r="A86" s="1159"/>
      <c r="B86" s="1160"/>
      <c r="C86" s="1206"/>
      <c r="D86" s="1195"/>
      <c r="E86" s="1207"/>
      <c r="F86" s="1209"/>
      <c r="G86" s="1041" t="s">
        <v>13</v>
      </c>
      <c r="H86" s="1042">
        <f>SUM(H85:H85)</f>
        <v>3.4</v>
      </c>
      <c r="I86" s="1043">
        <f>SUM(I85:I85)</f>
        <v>3.4</v>
      </c>
      <c r="J86" s="1043">
        <f>SUM(J85:J85)</f>
        <v>0</v>
      </c>
      <c r="K86" s="1044">
        <f>SUM(K85:K85)</f>
        <v>0</v>
      </c>
      <c r="L86" s="1045">
        <f t="shared" ref="L86:Q86" si="20">SUM(L85:L85)</f>
        <v>3.4</v>
      </c>
      <c r="M86" s="1046">
        <f t="shared" si="20"/>
        <v>3.4</v>
      </c>
      <c r="N86" s="1046">
        <f t="shared" si="20"/>
        <v>0</v>
      </c>
      <c r="O86" s="1047">
        <f t="shared" si="20"/>
        <v>0</v>
      </c>
      <c r="P86" s="1048">
        <f t="shared" si="20"/>
        <v>0</v>
      </c>
      <c r="Q86" s="1048">
        <f t="shared" si="20"/>
        <v>0</v>
      </c>
      <c r="R86" s="1204"/>
      <c r="S86" s="1049">
        <f>SUM(S85)</f>
        <v>100</v>
      </c>
      <c r="T86" s="1050">
        <f>SUM(T85)</f>
        <v>100</v>
      </c>
      <c r="U86" s="1051">
        <f>SUM(U85)</f>
        <v>0</v>
      </c>
      <c r="V86" s="1014"/>
      <c r="W86" s="1014"/>
      <c r="X86" s="231"/>
      <c r="AE86" s="1004"/>
    </row>
    <row r="87" spans="1:116" s="1053" customFormat="1" ht="15.75" customHeight="1" thickBot="1" x14ac:dyDescent="0.25">
      <c r="A87" s="663" t="s">
        <v>17</v>
      </c>
      <c r="B87" s="962" t="s">
        <v>17</v>
      </c>
      <c r="C87" s="1135" t="s">
        <v>49</v>
      </c>
      <c r="D87" s="1136"/>
      <c r="E87" s="1136"/>
      <c r="F87" s="1136"/>
      <c r="G87" s="1136"/>
      <c r="H87" s="620">
        <f t="shared" ref="H87:Q87" si="21">SUM(H18,H20,H22,H26,H60,H78,H80,H82,H86)</f>
        <v>1947.7</v>
      </c>
      <c r="I87" s="620">
        <f t="shared" si="21"/>
        <v>1892.0000000000002</v>
      </c>
      <c r="J87" s="620">
        <f t="shared" si="21"/>
        <v>1179.5999999999999</v>
      </c>
      <c r="K87" s="619">
        <f t="shared" si="21"/>
        <v>55.7</v>
      </c>
      <c r="L87" s="1052">
        <f t="shared" si="21"/>
        <v>1895.7000000000003</v>
      </c>
      <c r="M87" s="618">
        <f t="shared" si="21"/>
        <v>1842.7000000000003</v>
      </c>
      <c r="N87" s="618">
        <f t="shared" si="21"/>
        <v>1192.3000000000002</v>
      </c>
      <c r="O87" s="618">
        <f t="shared" si="21"/>
        <v>53</v>
      </c>
      <c r="P87" s="618">
        <f t="shared" si="21"/>
        <v>2167.1000000000004</v>
      </c>
      <c r="Q87" s="619">
        <f t="shared" si="21"/>
        <v>2197.4000000000005</v>
      </c>
      <c r="R87" s="619" t="s">
        <v>23</v>
      </c>
      <c r="S87" s="620" t="s">
        <v>23</v>
      </c>
      <c r="T87" s="664" t="s">
        <v>23</v>
      </c>
      <c r="U87" s="618"/>
      <c r="V87" s="1019"/>
      <c r="W87" s="1014"/>
      <c r="X87" s="490"/>
      <c r="Y87" s="490"/>
      <c r="Z87" s="490"/>
      <c r="AA87" s="490"/>
      <c r="AB87" s="490"/>
      <c r="AC87" s="490"/>
      <c r="AD87" s="490"/>
      <c r="AE87" s="1012"/>
      <c r="AF87" s="490"/>
      <c r="AG87" s="490"/>
      <c r="AH87" s="490"/>
      <c r="AI87" s="490"/>
      <c r="AJ87" s="490"/>
      <c r="AK87" s="490"/>
      <c r="AL87" s="490"/>
      <c r="AM87" s="490"/>
      <c r="AN87" s="490"/>
      <c r="AO87" s="490"/>
      <c r="AP87" s="490"/>
      <c r="AQ87" s="490"/>
      <c r="AR87" s="490"/>
      <c r="AS87" s="490"/>
      <c r="AT87" s="490"/>
      <c r="AU87" s="490"/>
      <c r="AV87" s="490"/>
      <c r="AW87" s="490"/>
      <c r="AX87" s="490"/>
      <c r="AY87" s="490"/>
      <c r="AZ87" s="490"/>
      <c r="BA87" s="490"/>
      <c r="BB87" s="490"/>
      <c r="BC87" s="490"/>
      <c r="BD87" s="490"/>
      <c r="BE87" s="490"/>
      <c r="BF87" s="490"/>
      <c r="BG87" s="490"/>
      <c r="BH87" s="490"/>
      <c r="BI87" s="490"/>
      <c r="BJ87" s="490"/>
      <c r="BK87" s="490"/>
      <c r="BL87" s="490"/>
      <c r="BM87" s="490"/>
      <c r="BN87" s="490"/>
      <c r="BO87" s="490"/>
      <c r="BP87" s="490"/>
      <c r="BQ87" s="490"/>
      <c r="BR87" s="490"/>
      <c r="BS87" s="490"/>
      <c r="BT87" s="490"/>
      <c r="BU87" s="490"/>
      <c r="BV87" s="490"/>
      <c r="BW87" s="490"/>
      <c r="BX87" s="490"/>
      <c r="BY87" s="490"/>
      <c r="BZ87" s="490"/>
      <c r="CA87" s="490"/>
      <c r="CB87" s="490"/>
      <c r="CC87" s="490"/>
      <c r="CD87" s="490"/>
      <c r="CE87" s="490"/>
      <c r="CF87" s="490"/>
      <c r="CG87" s="490"/>
      <c r="CH87" s="490"/>
      <c r="CI87" s="490"/>
      <c r="CJ87" s="490"/>
      <c r="CK87" s="490"/>
      <c r="CL87" s="490"/>
      <c r="CM87" s="490"/>
      <c r="CN87" s="490"/>
      <c r="CO87" s="490"/>
      <c r="CP87" s="490"/>
      <c r="CQ87" s="490"/>
      <c r="CR87" s="490"/>
      <c r="CS87" s="490"/>
      <c r="CT87" s="490"/>
      <c r="CU87" s="490"/>
      <c r="CV87" s="490"/>
      <c r="CW87" s="490"/>
      <c r="CX87" s="490"/>
      <c r="CY87" s="490"/>
      <c r="CZ87" s="490"/>
      <c r="DA87" s="490"/>
      <c r="DB87" s="490"/>
      <c r="DC87" s="490"/>
      <c r="DD87" s="490"/>
      <c r="DE87" s="490"/>
      <c r="DF87" s="490"/>
      <c r="DG87" s="490"/>
      <c r="DH87" s="490"/>
      <c r="DI87" s="490"/>
      <c r="DJ87" s="490"/>
      <c r="DK87" s="490"/>
      <c r="DL87" s="490"/>
    </row>
    <row r="88" spans="1:116" ht="16.5" customHeight="1" thickBot="1" x14ac:dyDescent="0.25">
      <c r="A88" s="663" t="s">
        <v>17</v>
      </c>
      <c r="B88" s="962" t="s">
        <v>18</v>
      </c>
      <c r="C88" s="1200" t="s">
        <v>694</v>
      </c>
      <c r="D88" s="1138"/>
      <c r="E88" s="1138"/>
      <c r="F88" s="1138"/>
      <c r="G88" s="1138"/>
      <c r="H88" s="1138"/>
      <c r="I88" s="1138"/>
      <c r="J88" s="1138"/>
      <c r="K88" s="1138"/>
      <c r="L88" s="1138"/>
      <c r="M88" s="1138"/>
      <c r="N88" s="1138"/>
      <c r="O88" s="1138"/>
      <c r="P88" s="1138"/>
      <c r="Q88" s="1138"/>
      <c r="R88" s="1138"/>
      <c r="S88" s="1138"/>
      <c r="T88" s="1138"/>
      <c r="U88" s="1139"/>
      <c r="V88" s="1014"/>
      <c r="W88" s="1014"/>
      <c r="X88" s="231"/>
    </row>
    <row r="89" spans="1:116" ht="39" customHeight="1" x14ac:dyDescent="0.2">
      <c r="A89" s="1140" t="s">
        <v>17</v>
      </c>
      <c r="B89" s="1141" t="s">
        <v>18</v>
      </c>
      <c r="C89" s="1142" t="s">
        <v>17</v>
      </c>
      <c r="D89" s="1201" t="s">
        <v>695</v>
      </c>
      <c r="E89" s="1196" t="s">
        <v>696</v>
      </c>
      <c r="F89" s="1198">
        <v>4</v>
      </c>
      <c r="G89" s="832" t="s">
        <v>413</v>
      </c>
      <c r="H89" s="967">
        <v>0.4</v>
      </c>
      <c r="I89" s="964">
        <v>0.4</v>
      </c>
      <c r="J89" s="964"/>
      <c r="K89" s="969"/>
      <c r="L89" s="967">
        <v>0.4</v>
      </c>
      <c r="M89" s="964">
        <v>0.4</v>
      </c>
      <c r="N89" s="964"/>
      <c r="O89" s="969"/>
      <c r="P89" s="372">
        <v>0.4</v>
      </c>
      <c r="Q89" s="626">
        <v>0.4</v>
      </c>
      <c r="R89" s="1202" t="s">
        <v>445</v>
      </c>
      <c r="S89" s="1034">
        <v>100</v>
      </c>
      <c r="T89" s="1035">
        <v>100</v>
      </c>
      <c r="U89" s="1029"/>
    </row>
    <row r="90" spans="1:116" ht="22.5" customHeight="1" x14ac:dyDescent="0.2">
      <c r="A90" s="1123"/>
      <c r="B90" s="1125"/>
      <c r="C90" s="1127"/>
      <c r="D90" s="1183"/>
      <c r="E90" s="1184"/>
      <c r="F90" s="1186"/>
      <c r="G90" s="580" t="s">
        <v>13</v>
      </c>
      <c r="H90" s="581">
        <f t="shared" ref="H90:Q90" si="22">SUM(H89)</f>
        <v>0.4</v>
      </c>
      <c r="I90" s="282">
        <f t="shared" si="22"/>
        <v>0.4</v>
      </c>
      <c r="J90" s="282">
        <f t="shared" si="22"/>
        <v>0</v>
      </c>
      <c r="K90" s="582">
        <f t="shared" si="22"/>
        <v>0</v>
      </c>
      <c r="L90" s="1015">
        <f t="shared" si="22"/>
        <v>0.4</v>
      </c>
      <c r="M90" s="1007">
        <f t="shared" si="22"/>
        <v>0.4</v>
      </c>
      <c r="N90" s="1007">
        <f t="shared" si="22"/>
        <v>0</v>
      </c>
      <c r="O90" s="1016">
        <f t="shared" si="22"/>
        <v>0</v>
      </c>
      <c r="P90" s="1054">
        <f t="shared" si="22"/>
        <v>0.4</v>
      </c>
      <c r="Q90" s="583">
        <f t="shared" si="22"/>
        <v>0.4</v>
      </c>
      <c r="R90" s="1181"/>
      <c r="S90" s="287">
        <f>SUM(S89)</f>
        <v>100</v>
      </c>
      <c r="T90" s="288">
        <f>SUM(T89)</f>
        <v>100</v>
      </c>
      <c r="U90" s="571"/>
    </row>
    <row r="91" spans="1:116" ht="38.25" customHeight="1" x14ac:dyDescent="0.2">
      <c r="A91" s="1123" t="s">
        <v>17</v>
      </c>
      <c r="B91" s="1125" t="s">
        <v>18</v>
      </c>
      <c r="C91" s="1127" t="s">
        <v>18</v>
      </c>
      <c r="D91" s="1183" t="s">
        <v>697</v>
      </c>
      <c r="E91" s="1145" t="s">
        <v>696</v>
      </c>
      <c r="F91" s="1186">
        <v>10</v>
      </c>
      <c r="G91" s="976" t="s">
        <v>413</v>
      </c>
      <c r="H91" s="971">
        <v>10.5</v>
      </c>
      <c r="I91" s="1055">
        <v>10.5</v>
      </c>
      <c r="J91" s="972">
        <v>7.1</v>
      </c>
      <c r="K91" s="970"/>
      <c r="L91" s="971">
        <v>10.5</v>
      </c>
      <c r="M91" s="1055">
        <v>10.5</v>
      </c>
      <c r="N91" s="972">
        <v>7.1</v>
      </c>
      <c r="O91" s="970"/>
      <c r="P91" s="390">
        <v>10.5</v>
      </c>
      <c r="Q91" s="1056">
        <v>10.5</v>
      </c>
      <c r="R91" s="1181" t="s">
        <v>445</v>
      </c>
      <c r="S91" s="1034">
        <v>100</v>
      </c>
      <c r="T91" s="1035">
        <v>100</v>
      </c>
      <c r="U91" s="1029"/>
    </row>
    <row r="92" spans="1:116" ht="24" customHeight="1" x14ac:dyDescent="0.2">
      <c r="A92" s="1123"/>
      <c r="B92" s="1125"/>
      <c r="C92" s="1127"/>
      <c r="D92" s="1183"/>
      <c r="E92" s="1145"/>
      <c r="F92" s="1186"/>
      <c r="G92" s="580" t="s">
        <v>13</v>
      </c>
      <c r="H92" s="581">
        <f t="shared" ref="H92:Q92" si="23">SUM(H91)</f>
        <v>10.5</v>
      </c>
      <c r="I92" s="282">
        <f t="shared" si="23"/>
        <v>10.5</v>
      </c>
      <c r="J92" s="282">
        <f t="shared" si="23"/>
        <v>7.1</v>
      </c>
      <c r="K92" s="582">
        <f t="shared" si="23"/>
        <v>0</v>
      </c>
      <c r="L92" s="1015">
        <f t="shared" si="23"/>
        <v>10.5</v>
      </c>
      <c r="M92" s="1007">
        <f t="shared" si="23"/>
        <v>10.5</v>
      </c>
      <c r="N92" s="1007">
        <f t="shared" si="23"/>
        <v>7.1</v>
      </c>
      <c r="O92" s="1016">
        <f t="shared" si="23"/>
        <v>0</v>
      </c>
      <c r="P92" s="1054">
        <f t="shared" si="23"/>
        <v>10.5</v>
      </c>
      <c r="Q92" s="583">
        <f t="shared" si="23"/>
        <v>10.5</v>
      </c>
      <c r="R92" s="1181"/>
      <c r="S92" s="287">
        <f>SUM(S91)</f>
        <v>100</v>
      </c>
      <c r="T92" s="288">
        <f>SUM(T91)</f>
        <v>100</v>
      </c>
      <c r="U92" s="571"/>
    </row>
    <row r="93" spans="1:116" ht="33.75" customHeight="1" x14ac:dyDescent="0.2">
      <c r="A93" s="1123" t="s">
        <v>17</v>
      </c>
      <c r="B93" s="1125" t="s">
        <v>18</v>
      </c>
      <c r="C93" s="1127" t="s">
        <v>19</v>
      </c>
      <c r="D93" s="1183" t="s">
        <v>698</v>
      </c>
      <c r="E93" s="1145" t="s">
        <v>696</v>
      </c>
      <c r="F93" s="1186">
        <v>11</v>
      </c>
      <c r="G93" s="976" t="s">
        <v>413</v>
      </c>
      <c r="H93" s="971">
        <v>0.6</v>
      </c>
      <c r="I93" s="972">
        <v>0.6</v>
      </c>
      <c r="J93" s="972">
        <v>0.5</v>
      </c>
      <c r="K93" s="970"/>
      <c r="L93" s="971">
        <v>0.6</v>
      </c>
      <c r="M93" s="972">
        <v>0.6</v>
      </c>
      <c r="N93" s="972">
        <v>0.5</v>
      </c>
      <c r="O93" s="970"/>
      <c r="P93" s="390">
        <v>0.6</v>
      </c>
      <c r="Q93" s="974">
        <v>0.6</v>
      </c>
      <c r="R93" s="1181" t="s">
        <v>445</v>
      </c>
      <c r="S93" s="1034">
        <v>100</v>
      </c>
      <c r="T93" s="1035">
        <v>100</v>
      </c>
      <c r="U93" s="1022"/>
      <c r="AE93" s="1004"/>
    </row>
    <row r="94" spans="1:116" ht="24.75" customHeight="1" x14ac:dyDescent="0.2">
      <c r="A94" s="1123"/>
      <c r="B94" s="1125"/>
      <c r="C94" s="1127"/>
      <c r="D94" s="1183"/>
      <c r="E94" s="1145"/>
      <c r="F94" s="1186"/>
      <c r="G94" s="580" t="s">
        <v>13</v>
      </c>
      <c r="H94" s="581">
        <f t="shared" ref="H94:Q94" si="24">SUM(H93)</f>
        <v>0.6</v>
      </c>
      <c r="I94" s="282">
        <f t="shared" si="24"/>
        <v>0.6</v>
      </c>
      <c r="J94" s="282">
        <f t="shared" si="24"/>
        <v>0.5</v>
      </c>
      <c r="K94" s="582">
        <f t="shared" si="24"/>
        <v>0</v>
      </c>
      <c r="L94" s="1015">
        <f t="shared" si="24"/>
        <v>0.6</v>
      </c>
      <c r="M94" s="1007">
        <f t="shared" si="24"/>
        <v>0.6</v>
      </c>
      <c r="N94" s="1007">
        <f t="shared" si="24"/>
        <v>0.5</v>
      </c>
      <c r="O94" s="1016">
        <f t="shared" si="24"/>
        <v>0</v>
      </c>
      <c r="P94" s="1054">
        <f t="shared" si="24"/>
        <v>0.6</v>
      </c>
      <c r="Q94" s="583">
        <f t="shared" si="24"/>
        <v>0.6</v>
      </c>
      <c r="R94" s="1181"/>
      <c r="S94" s="287">
        <f>SUM(S93)</f>
        <v>100</v>
      </c>
      <c r="T94" s="288">
        <f>SUM(T93)</f>
        <v>100</v>
      </c>
      <c r="U94" s="571"/>
      <c r="W94" s="231"/>
    </row>
    <row r="95" spans="1:116" ht="30.75" customHeight="1" x14ac:dyDescent="0.2">
      <c r="A95" s="1123" t="s">
        <v>17</v>
      </c>
      <c r="B95" s="1125" t="s">
        <v>18</v>
      </c>
      <c r="C95" s="1127" t="s">
        <v>20</v>
      </c>
      <c r="D95" s="1129" t="s">
        <v>699</v>
      </c>
      <c r="E95" s="1145" t="s">
        <v>444</v>
      </c>
      <c r="F95" s="1186">
        <v>8</v>
      </c>
      <c r="G95" s="976" t="s">
        <v>413</v>
      </c>
      <c r="H95" s="971">
        <v>15.4</v>
      </c>
      <c r="I95" s="972">
        <v>15.4</v>
      </c>
      <c r="J95" s="972">
        <v>11.1</v>
      </c>
      <c r="K95" s="970"/>
      <c r="L95" s="971">
        <v>15.4</v>
      </c>
      <c r="M95" s="972">
        <v>15.4</v>
      </c>
      <c r="N95" s="972">
        <v>11.1</v>
      </c>
      <c r="O95" s="970"/>
      <c r="P95" s="390">
        <v>15.6</v>
      </c>
      <c r="Q95" s="974">
        <v>15.6</v>
      </c>
      <c r="R95" s="1181" t="s">
        <v>445</v>
      </c>
      <c r="S95" s="1034">
        <v>100</v>
      </c>
      <c r="T95" s="1035">
        <v>100</v>
      </c>
      <c r="U95" s="1029"/>
      <c r="V95" s="490"/>
    </row>
    <row r="96" spans="1:116" ht="27.75" customHeight="1" x14ac:dyDescent="0.2">
      <c r="A96" s="1123"/>
      <c r="B96" s="1125"/>
      <c r="C96" s="1127"/>
      <c r="D96" s="1129"/>
      <c r="E96" s="1145"/>
      <c r="F96" s="1186"/>
      <c r="G96" s="580" t="s">
        <v>13</v>
      </c>
      <c r="H96" s="581">
        <f t="shared" ref="H96:Q96" si="25">SUM(H95)</f>
        <v>15.4</v>
      </c>
      <c r="I96" s="282">
        <f t="shared" si="25"/>
        <v>15.4</v>
      </c>
      <c r="J96" s="282">
        <f t="shared" si="25"/>
        <v>11.1</v>
      </c>
      <c r="K96" s="582">
        <f t="shared" si="25"/>
        <v>0</v>
      </c>
      <c r="L96" s="1015">
        <f t="shared" si="25"/>
        <v>15.4</v>
      </c>
      <c r="M96" s="1007">
        <f t="shared" si="25"/>
        <v>15.4</v>
      </c>
      <c r="N96" s="1007">
        <f t="shared" si="25"/>
        <v>11.1</v>
      </c>
      <c r="O96" s="1016">
        <f t="shared" si="25"/>
        <v>0</v>
      </c>
      <c r="P96" s="1054">
        <f t="shared" si="25"/>
        <v>15.6</v>
      </c>
      <c r="Q96" s="583">
        <f t="shared" si="25"/>
        <v>15.6</v>
      </c>
      <c r="R96" s="1181"/>
      <c r="S96" s="287">
        <f>SUM(S95)</f>
        <v>100</v>
      </c>
      <c r="T96" s="288">
        <f>SUM(T95)</f>
        <v>100</v>
      </c>
      <c r="U96" s="571"/>
      <c r="V96" s="490"/>
    </row>
    <row r="97" spans="1:32" ht="35.25" customHeight="1" x14ac:dyDescent="0.2">
      <c r="A97" s="1123" t="s">
        <v>17</v>
      </c>
      <c r="B97" s="1125" t="s">
        <v>18</v>
      </c>
      <c r="C97" s="1127" t="s">
        <v>21</v>
      </c>
      <c r="D97" s="1129" t="s">
        <v>700</v>
      </c>
      <c r="E97" s="1184" t="s">
        <v>701</v>
      </c>
      <c r="F97" s="1186">
        <v>6</v>
      </c>
      <c r="G97" s="976" t="s">
        <v>413</v>
      </c>
      <c r="H97" s="971">
        <v>7.8</v>
      </c>
      <c r="I97" s="972">
        <v>7.8</v>
      </c>
      <c r="J97" s="972">
        <v>6</v>
      </c>
      <c r="K97" s="970"/>
      <c r="L97" s="971">
        <v>7.8</v>
      </c>
      <c r="M97" s="972">
        <v>7.8</v>
      </c>
      <c r="N97" s="972">
        <v>6</v>
      </c>
      <c r="O97" s="970"/>
      <c r="P97" s="390">
        <v>8.5</v>
      </c>
      <c r="Q97" s="974">
        <v>8.5</v>
      </c>
      <c r="R97" s="1181" t="s">
        <v>445</v>
      </c>
      <c r="S97" s="1034">
        <v>100</v>
      </c>
      <c r="T97" s="1035">
        <v>100</v>
      </c>
      <c r="U97" s="1029"/>
    </row>
    <row r="98" spans="1:32" ht="24.75" customHeight="1" x14ac:dyDescent="0.2">
      <c r="A98" s="1123"/>
      <c r="B98" s="1125"/>
      <c r="C98" s="1127"/>
      <c r="D98" s="1129"/>
      <c r="E98" s="1184"/>
      <c r="F98" s="1186"/>
      <c r="G98" s="580" t="s">
        <v>13</v>
      </c>
      <c r="H98" s="581">
        <f t="shared" ref="H98:Q98" si="26">SUM(H97)</f>
        <v>7.8</v>
      </c>
      <c r="I98" s="282">
        <f t="shared" si="26"/>
        <v>7.8</v>
      </c>
      <c r="J98" s="282">
        <f t="shared" si="26"/>
        <v>6</v>
      </c>
      <c r="K98" s="582">
        <f t="shared" si="26"/>
        <v>0</v>
      </c>
      <c r="L98" s="1015">
        <f t="shared" si="26"/>
        <v>7.8</v>
      </c>
      <c r="M98" s="1007">
        <f t="shared" si="26"/>
        <v>7.8</v>
      </c>
      <c r="N98" s="1007">
        <f t="shared" si="26"/>
        <v>6</v>
      </c>
      <c r="O98" s="1016">
        <f t="shared" si="26"/>
        <v>0</v>
      </c>
      <c r="P98" s="1054">
        <f t="shared" si="26"/>
        <v>8.5</v>
      </c>
      <c r="Q98" s="583">
        <f t="shared" si="26"/>
        <v>8.5</v>
      </c>
      <c r="R98" s="1181"/>
      <c r="S98" s="287">
        <f>SUM(S97)</f>
        <v>100</v>
      </c>
      <c r="T98" s="288">
        <f>SUM(T97)</f>
        <v>100</v>
      </c>
      <c r="U98" s="571"/>
    </row>
    <row r="99" spans="1:32" ht="31.5" customHeight="1" x14ac:dyDescent="0.2">
      <c r="A99" s="1123" t="s">
        <v>17</v>
      </c>
      <c r="B99" s="1125" t="s">
        <v>18</v>
      </c>
      <c r="C99" s="1127" t="s">
        <v>22</v>
      </c>
      <c r="D99" s="1129" t="s">
        <v>702</v>
      </c>
      <c r="E99" s="1184" t="s">
        <v>703</v>
      </c>
      <c r="F99" s="1186">
        <v>4</v>
      </c>
      <c r="G99" s="976" t="s">
        <v>413</v>
      </c>
      <c r="H99" s="971">
        <v>23.1</v>
      </c>
      <c r="I99" s="972">
        <v>23.1</v>
      </c>
      <c r="J99" s="972">
        <v>16.899999999999999</v>
      </c>
      <c r="K99" s="970"/>
      <c r="L99" s="971">
        <v>23.1</v>
      </c>
      <c r="M99" s="972">
        <v>23.1</v>
      </c>
      <c r="N99" s="972">
        <v>16.899999999999999</v>
      </c>
      <c r="O99" s="970"/>
      <c r="P99" s="390">
        <v>24.5</v>
      </c>
      <c r="Q99" s="974">
        <v>24.5</v>
      </c>
      <c r="R99" s="1181" t="s">
        <v>445</v>
      </c>
      <c r="S99" s="1034">
        <v>100</v>
      </c>
      <c r="T99" s="1035">
        <v>100</v>
      </c>
      <c r="U99" s="1029"/>
    </row>
    <row r="100" spans="1:32" ht="25.5" customHeight="1" x14ac:dyDescent="0.2">
      <c r="A100" s="1123"/>
      <c r="B100" s="1125"/>
      <c r="C100" s="1127"/>
      <c r="D100" s="1129"/>
      <c r="E100" s="1184"/>
      <c r="F100" s="1186"/>
      <c r="G100" s="580" t="s">
        <v>13</v>
      </c>
      <c r="H100" s="581">
        <f t="shared" ref="H100:Q100" si="27">SUM(H99)</f>
        <v>23.1</v>
      </c>
      <c r="I100" s="282">
        <f t="shared" si="27"/>
        <v>23.1</v>
      </c>
      <c r="J100" s="282">
        <f t="shared" si="27"/>
        <v>16.899999999999999</v>
      </c>
      <c r="K100" s="582">
        <f t="shared" si="27"/>
        <v>0</v>
      </c>
      <c r="L100" s="1015">
        <f t="shared" si="27"/>
        <v>23.1</v>
      </c>
      <c r="M100" s="1007">
        <f t="shared" si="27"/>
        <v>23.1</v>
      </c>
      <c r="N100" s="1007">
        <f t="shared" si="27"/>
        <v>16.899999999999999</v>
      </c>
      <c r="O100" s="1016">
        <f t="shared" si="27"/>
        <v>0</v>
      </c>
      <c r="P100" s="1054">
        <f t="shared" si="27"/>
        <v>24.5</v>
      </c>
      <c r="Q100" s="583">
        <f t="shared" si="27"/>
        <v>24.5</v>
      </c>
      <c r="R100" s="1181"/>
      <c r="S100" s="287">
        <f>SUM(S99)</f>
        <v>100</v>
      </c>
      <c r="T100" s="288">
        <f>SUM(T99)</f>
        <v>100</v>
      </c>
      <c r="U100" s="571"/>
    </row>
    <row r="101" spans="1:32" ht="32.25" customHeight="1" x14ac:dyDescent="0.2">
      <c r="A101" s="1123" t="s">
        <v>17</v>
      </c>
      <c r="B101" s="1125" t="s">
        <v>18</v>
      </c>
      <c r="C101" s="1191" t="s">
        <v>378</v>
      </c>
      <c r="D101" s="1129" t="s">
        <v>704</v>
      </c>
      <c r="E101" s="1131" t="s">
        <v>705</v>
      </c>
      <c r="F101" s="1199">
        <v>18</v>
      </c>
      <c r="G101" s="976" t="s">
        <v>413</v>
      </c>
      <c r="H101" s="307">
        <f>SUM(H103+H107)</f>
        <v>7.3</v>
      </c>
      <c r="I101" s="972">
        <f>SUM(I103+I107)</f>
        <v>7.3</v>
      </c>
      <c r="J101" s="390">
        <f>SUM(J103+J107)</f>
        <v>1</v>
      </c>
      <c r="K101" s="970"/>
      <c r="L101" s="307">
        <f>SUM(L103+L107)</f>
        <v>7.3</v>
      </c>
      <c r="M101" s="972">
        <f>SUM(M103+M107)</f>
        <v>7.3</v>
      </c>
      <c r="N101" s="390">
        <f>SUM(N103+N107)</f>
        <v>1</v>
      </c>
      <c r="O101" s="970"/>
      <c r="P101" s="307">
        <v>1.3</v>
      </c>
      <c r="Q101" s="307">
        <v>1.3</v>
      </c>
      <c r="R101" s="1181" t="s">
        <v>445</v>
      </c>
      <c r="S101" s="1034">
        <v>100</v>
      </c>
      <c r="T101" s="1035">
        <v>100</v>
      </c>
      <c r="U101" s="1022"/>
      <c r="W101" s="231">
        <f>H104+H106+H108+H110+H112+H114+H116+H118+H120</f>
        <v>8.6</v>
      </c>
      <c r="X101" s="231">
        <f>I104+I106+I108+I110+I112+I114+I116+I118+I120</f>
        <v>8.6</v>
      </c>
      <c r="Y101" s="231">
        <f>J104+J106+J108+J110+J112+J114+J116+J118+J120</f>
        <v>2</v>
      </c>
      <c r="Z101" s="231">
        <f>K104+K106+K108+K110+K112+K114+K116+K118+K120</f>
        <v>0</v>
      </c>
      <c r="AB101" s="231">
        <f>P104+P106+P108+P110+P112+P114+P116+P118+P120</f>
        <v>7.3</v>
      </c>
      <c r="AC101" s="231">
        <f>Q104+Q106+Q108+Q110+Q112+Q114+Q116+Q118+Q120</f>
        <v>7.3</v>
      </c>
      <c r="AE101" s="1004"/>
    </row>
    <row r="102" spans="1:32" x14ac:dyDescent="0.2">
      <c r="A102" s="1123"/>
      <c r="B102" s="1125"/>
      <c r="C102" s="1191"/>
      <c r="D102" s="1129"/>
      <c r="E102" s="1131"/>
      <c r="F102" s="1199"/>
      <c r="G102" s="1057" t="s">
        <v>13</v>
      </c>
      <c r="H102" s="1058">
        <f t="shared" ref="H102:Q102" si="28">SUM(H101)</f>
        <v>7.3</v>
      </c>
      <c r="I102" s="1059">
        <f t="shared" si="28"/>
        <v>7.3</v>
      </c>
      <c r="J102" s="1059">
        <f t="shared" si="28"/>
        <v>1</v>
      </c>
      <c r="K102" s="1060">
        <f t="shared" si="28"/>
        <v>0</v>
      </c>
      <c r="L102" s="1058">
        <f t="shared" si="28"/>
        <v>7.3</v>
      </c>
      <c r="M102" s="1059">
        <f t="shared" si="28"/>
        <v>7.3</v>
      </c>
      <c r="N102" s="1059">
        <f t="shared" si="28"/>
        <v>1</v>
      </c>
      <c r="O102" s="1060">
        <f t="shared" si="28"/>
        <v>0</v>
      </c>
      <c r="P102" s="1061">
        <f t="shared" si="28"/>
        <v>1.3</v>
      </c>
      <c r="Q102" s="1062">
        <f t="shared" si="28"/>
        <v>1.3</v>
      </c>
      <c r="R102" s="1181"/>
      <c r="S102" s="287">
        <f>SUM(S101)</f>
        <v>100</v>
      </c>
      <c r="T102" s="288">
        <f>SUM(T101)</f>
        <v>100</v>
      </c>
      <c r="U102" s="571"/>
      <c r="AE102" s="1004"/>
    </row>
    <row r="103" spans="1:32" ht="32.25" hidden="1" customHeight="1" outlineLevel="1" x14ac:dyDescent="0.2">
      <c r="A103" s="1123" t="s">
        <v>17</v>
      </c>
      <c r="B103" s="1125" t="s">
        <v>18</v>
      </c>
      <c r="C103" s="1127" t="s">
        <v>490</v>
      </c>
      <c r="D103" s="1129" t="s">
        <v>704</v>
      </c>
      <c r="E103" s="1145" t="s">
        <v>705</v>
      </c>
      <c r="F103" s="1186">
        <v>1</v>
      </c>
      <c r="G103" s="976" t="s">
        <v>413</v>
      </c>
      <c r="H103" s="307">
        <v>6</v>
      </c>
      <c r="I103" s="291">
        <v>6</v>
      </c>
      <c r="J103" s="972"/>
      <c r="K103" s="556"/>
      <c r="L103" s="307">
        <v>6</v>
      </c>
      <c r="M103" s="291">
        <v>6</v>
      </c>
      <c r="N103" s="972"/>
      <c r="O103" s="556"/>
      <c r="P103" s="390">
        <v>6</v>
      </c>
      <c r="Q103" s="974">
        <v>6</v>
      </c>
      <c r="R103" s="1181" t="s">
        <v>445</v>
      </c>
      <c r="S103" s="1034">
        <v>100</v>
      </c>
      <c r="T103" s="1035">
        <v>100</v>
      </c>
      <c r="U103" s="1029"/>
      <c r="AE103" s="1004"/>
    </row>
    <row r="104" spans="1:32" ht="25.5" hidden="1" customHeight="1" outlineLevel="1" x14ac:dyDescent="0.2">
      <c r="A104" s="1123"/>
      <c r="B104" s="1125"/>
      <c r="C104" s="1127"/>
      <c r="D104" s="1129"/>
      <c r="E104" s="1145"/>
      <c r="F104" s="1186"/>
      <c r="G104" s="580" t="s">
        <v>13</v>
      </c>
      <c r="H104" s="581">
        <f>SUM(H103)</f>
        <v>6</v>
      </c>
      <c r="I104" s="282">
        <f>SUM(I103)</f>
        <v>6</v>
      </c>
      <c r="J104" s="282">
        <f>SUM(J103)</f>
        <v>0</v>
      </c>
      <c r="K104" s="582">
        <f>SUM(K103)</f>
        <v>0</v>
      </c>
      <c r="L104" s="1015">
        <f t="shared" ref="L104:Q104" si="29">SUM(L103)</f>
        <v>6</v>
      </c>
      <c r="M104" s="1007">
        <f t="shared" si="29"/>
        <v>6</v>
      </c>
      <c r="N104" s="1007">
        <f t="shared" si="29"/>
        <v>0</v>
      </c>
      <c r="O104" s="1016">
        <f t="shared" si="29"/>
        <v>0</v>
      </c>
      <c r="P104" s="1054">
        <f t="shared" si="29"/>
        <v>6</v>
      </c>
      <c r="Q104" s="583">
        <f t="shared" si="29"/>
        <v>6</v>
      </c>
      <c r="R104" s="1181"/>
      <c r="S104" s="287">
        <f>SUM(S103)</f>
        <v>100</v>
      </c>
      <c r="T104" s="288">
        <f>SUM(T103)</f>
        <v>100</v>
      </c>
      <c r="U104" s="571"/>
      <c r="AE104" s="1004"/>
      <c r="AF104" s="1063">
        <f>L105+L107+L109+L111+L113+L115+L117+L119</f>
        <v>2.6</v>
      </c>
    </row>
    <row r="105" spans="1:32" ht="32.25" hidden="1" customHeight="1" outlineLevel="1" x14ac:dyDescent="0.2">
      <c r="A105" s="1123" t="s">
        <v>17</v>
      </c>
      <c r="B105" s="1125" t="s">
        <v>18</v>
      </c>
      <c r="C105" s="1127" t="s">
        <v>491</v>
      </c>
      <c r="D105" s="1129" t="s">
        <v>704</v>
      </c>
      <c r="E105" s="1145" t="s">
        <v>705</v>
      </c>
      <c r="F105" s="1186">
        <v>14</v>
      </c>
      <c r="G105" s="976" t="s">
        <v>413</v>
      </c>
      <c r="H105" s="971"/>
      <c r="I105" s="972"/>
      <c r="J105" s="972"/>
      <c r="K105" s="556"/>
      <c r="L105" s="971"/>
      <c r="M105" s="972"/>
      <c r="N105" s="972"/>
      <c r="O105" s="556"/>
      <c r="P105" s="390"/>
      <c r="Q105" s="974"/>
      <c r="R105" s="1181" t="s">
        <v>445</v>
      </c>
      <c r="S105" s="1034">
        <f>+H105</f>
        <v>0</v>
      </c>
      <c r="T105" s="1035">
        <f>+L105</f>
        <v>0</v>
      </c>
      <c r="U105" s="1029"/>
      <c r="AE105" s="1004"/>
      <c r="AF105" s="1063">
        <f>L101-AF104</f>
        <v>4.6999999999999993</v>
      </c>
    </row>
    <row r="106" spans="1:32" ht="25.5" hidden="1" customHeight="1" outlineLevel="1" x14ac:dyDescent="0.2">
      <c r="A106" s="1123"/>
      <c r="B106" s="1125"/>
      <c r="C106" s="1127"/>
      <c r="D106" s="1129"/>
      <c r="E106" s="1145"/>
      <c r="F106" s="1186"/>
      <c r="G106" s="580" t="s">
        <v>13</v>
      </c>
      <c r="H106" s="581">
        <f>SUM(H105)</f>
        <v>0</v>
      </c>
      <c r="I106" s="282">
        <f>SUM(I105)</f>
        <v>0</v>
      </c>
      <c r="J106" s="282">
        <f>SUM(J105)</f>
        <v>0</v>
      </c>
      <c r="K106" s="582">
        <f>SUM(K105)</f>
        <v>0</v>
      </c>
      <c r="L106" s="1015">
        <f t="shared" ref="L106:Q106" si="30">SUM(L105)</f>
        <v>0</v>
      </c>
      <c r="M106" s="1007">
        <f t="shared" si="30"/>
        <v>0</v>
      </c>
      <c r="N106" s="1007">
        <f t="shared" si="30"/>
        <v>0</v>
      </c>
      <c r="O106" s="1016">
        <f t="shared" si="30"/>
        <v>0</v>
      </c>
      <c r="P106" s="1054">
        <f t="shared" si="30"/>
        <v>0</v>
      </c>
      <c r="Q106" s="583">
        <f t="shared" si="30"/>
        <v>0</v>
      </c>
      <c r="R106" s="1181"/>
      <c r="S106" s="287">
        <f>SUM(S105)</f>
        <v>0</v>
      </c>
      <c r="T106" s="288">
        <f>SUM(T105)</f>
        <v>0</v>
      </c>
      <c r="U106" s="571"/>
      <c r="AE106" s="1004"/>
    </row>
    <row r="107" spans="1:32" ht="32.25" hidden="1" customHeight="1" outlineLevel="1" x14ac:dyDescent="0.2">
      <c r="A107" s="1123" t="s">
        <v>17</v>
      </c>
      <c r="B107" s="1125" t="s">
        <v>18</v>
      </c>
      <c r="C107" s="1127" t="s">
        <v>492</v>
      </c>
      <c r="D107" s="1129" t="s">
        <v>704</v>
      </c>
      <c r="E107" s="1145" t="s">
        <v>705</v>
      </c>
      <c r="F107" s="1186">
        <v>15</v>
      </c>
      <c r="G107" s="976" t="s">
        <v>413</v>
      </c>
      <c r="H107" s="971">
        <v>1.3</v>
      </c>
      <c r="I107" s="972">
        <v>1.3</v>
      </c>
      <c r="J107" s="972">
        <v>1</v>
      </c>
      <c r="K107" s="556"/>
      <c r="L107" s="971">
        <v>1.3</v>
      </c>
      <c r="M107" s="972">
        <v>1.3</v>
      </c>
      <c r="N107" s="972">
        <v>1</v>
      </c>
      <c r="O107" s="556"/>
      <c r="P107" s="390"/>
      <c r="Q107" s="974"/>
      <c r="R107" s="1181" t="s">
        <v>445</v>
      </c>
      <c r="S107" s="1034">
        <v>100</v>
      </c>
      <c r="T107" s="1035">
        <v>100</v>
      </c>
      <c r="U107" s="1029"/>
      <c r="AE107" s="1004"/>
    </row>
    <row r="108" spans="1:32" ht="25.5" hidden="1" customHeight="1" outlineLevel="1" x14ac:dyDescent="0.2">
      <c r="A108" s="1123"/>
      <c r="B108" s="1125"/>
      <c r="C108" s="1127"/>
      <c r="D108" s="1129"/>
      <c r="E108" s="1145"/>
      <c r="F108" s="1186"/>
      <c r="G108" s="580" t="s">
        <v>13</v>
      </c>
      <c r="H108" s="581">
        <f>SUM(H107)</f>
        <v>1.3</v>
      </c>
      <c r="I108" s="282">
        <f>SUM(I107)</f>
        <v>1.3</v>
      </c>
      <c r="J108" s="282">
        <f>SUM(J107)</f>
        <v>1</v>
      </c>
      <c r="K108" s="582">
        <f>SUM(K107)</f>
        <v>0</v>
      </c>
      <c r="L108" s="1015">
        <f t="shared" ref="L108:Q108" si="31">SUM(L107)</f>
        <v>1.3</v>
      </c>
      <c r="M108" s="1007">
        <f t="shared" si="31"/>
        <v>1.3</v>
      </c>
      <c r="N108" s="1007">
        <f t="shared" si="31"/>
        <v>1</v>
      </c>
      <c r="O108" s="1016">
        <f t="shared" si="31"/>
        <v>0</v>
      </c>
      <c r="P108" s="1054">
        <f t="shared" si="31"/>
        <v>0</v>
      </c>
      <c r="Q108" s="583">
        <f t="shared" si="31"/>
        <v>0</v>
      </c>
      <c r="R108" s="1181"/>
      <c r="S108" s="287">
        <f>SUM(S107)</f>
        <v>100</v>
      </c>
      <c r="T108" s="288">
        <f>SUM(T107)</f>
        <v>100</v>
      </c>
      <c r="U108" s="571"/>
      <c r="AE108" s="1004"/>
    </row>
    <row r="109" spans="1:32" ht="32.25" hidden="1" customHeight="1" outlineLevel="1" x14ac:dyDescent="0.2">
      <c r="A109" s="1123" t="s">
        <v>17</v>
      </c>
      <c r="B109" s="1125" t="s">
        <v>18</v>
      </c>
      <c r="C109" s="1127" t="s">
        <v>503</v>
      </c>
      <c r="D109" s="1129" t="s">
        <v>704</v>
      </c>
      <c r="E109" s="1145" t="s">
        <v>705</v>
      </c>
      <c r="F109" s="1186">
        <v>16</v>
      </c>
      <c r="G109" s="976" t="s">
        <v>413</v>
      </c>
      <c r="H109" s="971"/>
      <c r="I109" s="972"/>
      <c r="J109" s="972"/>
      <c r="K109" s="556"/>
      <c r="L109" s="971"/>
      <c r="M109" s="972"/>
      <c r="N109" s="972"/>
      <c r="O109" s="556"/>
      <c r="P109" s="390"/>
      <c r="Q109" s="974"/>
      <c r="R109" s="1181" t="s">
        <v>445</v>
      </c>
      <c r="S109" s="1034">
        <f>+H109</f>
        <v>0</v>
      </c>
      <c r="T109" s="1035">
        <f>+L109</f>
        <v>0</v>
      </c>
      <c r="U109" s="1029"/>
      <c r="AE109" s="1004"/>
    </row>
    <row r="110" spans="1:32" ht="25.5" hidden="1" customHeight="1" outlineLevel="1" x14ac:dyDescent="0.2">
      <c r="A110" s="1123"/>
      <c r="B110" s="1125"/>
      <c r="C110" s="1127"/>
      <c r="D110" s="1129"/>
      <c r="E110" s="1145"/>
      <c r="F110" s="1186"/>
      <c r="G110" s="580" t="s">
        <v>13</v>
      </c>
      <c r="H110" s="581">
        <f>SUM(H109)</f>
        <v>0</v>
      </c>
      <c r="I110" s="282">
        <f>SUM(I109)</f>
        <v>0</v>
      </c>
      <c r="J110" s="282">
        <f>SUM(J109)</f>
        <v>0</v>
      </c>
      <c r="K110" s="582">
        <f>SUM(K109)</f>
        <v>0</v>
      </c>
      <c r="L110" s="1015">
        <f t="shared" ref="L110:Q110" si="32">SUM(L109)</f>
        <v>0</v>
      </c>
      <c r="M110" s="1007">
        <f t="shared" si="32"/>
        <v>0</v>
      </c>
      <c r="N110" s="1007">
        <f t="shared" si="32"/>
        <v>0</v>
      </c>
      <c r="O110" s="1016">
        <f t="shared" si="32"/>
        <v>0</v>
      </c>
      <c r="P110" s="1054">
        <f t="shared" si="32"/>
        <v>0</v>
      </c>
      <c r="Q110" s="583">
        <f t="shared" si="32"/>
        <v>0</v>
      </c>
      <c r="R110" s="1181"/>
      <c r="S110" s="287">
        <f>SUM(S109)</f>
        <v>0</v>
      </c>
      <c r="T110" s="288">
        <f>SUM(T109)</f>
        <v>0</v>
      </c>
      <c r="U110" s="571"/>
      <c r="AE110" s="1004"/>
    </row>
    <row r="111" spans="1:32" ht="32.25" hidden="1" customHeight="1" outlineLevel="1" x14ac:dyDescent="0.2">
      <c r="A111" s="1123" t="s">
        <v>17</v>
      </c>
      <c r="B111" s="1125" t="s">
        <v>18</v>
      </c>
      <c r="C111" s="1127" t="s">
        <v>706</v>
      </c>
      <c r="D111" s="1129" t="s">
        <v>704</v>
      </c>
      <c r="E111" s="1145" t="s">
        <v>705</v>
      </c>
      <c r="F111" s="1186">
        <v>17</v>
      </c>
      <c r="G111" s="976" t="s">
        <v>413</v>
      </c>
      <c r="H111" s="971"/>
      <c r="I111" s="972"/>
      <c r="J111" s="972"/>
      <c r="K111" s="556"/>
      <c r="L111" s="971"/>
      <c r="M111" s="972"/>
      <c r="N111" s="972"/>
      <c r="O111" s="556"/>
      <c r="P111" s="390"/>
      <c r="Q111" s="974"/>
      <c r="R111" s="1181" t="s">
        <v>445</v>
      </c>
      <c r="S111" s="1034">
        <f>+H111</f>
        <v>0</v>
      </c>
      <c r="T111" s="1035">
        <f>+L111</f>
        <v>0</v>
      </c>
      <c r="U111" s="1029"/>
      <c r="AE111" s="1004"/>
    </row>
    <row r="112" spans="1:32" ht="25.5" hidden="1" customHeight="1" outlineLevel="1" x14ac:dyDescent="0.2">
      <c r="A112" s="1123"/>
      <c r="B112" s="1125"/>
      <c r="C112" s="1127"/>
      <c r="D112" s="1129"/>
      <c r="E112" s="1145"/>
      <c r="F112" s="1186"/>
      <c r="G112" s="580" t="s">
        <v>13</v>
      </c>
      <c r="H112" s="581">
        <f>SUM(H111)</f>
        <v>0</v>
      </c>
      <c r="I112" s="282">
        <f>SUM(I111)</f>
        <v>0</v>
      </c>
      <c r="J112" s="282">
        <f>SUM(J111)</f>
        <v>0</v>
      </c>
      <c r="K112" s="582">
        <f>SUM(K111)</f>
        <v>0</v>
      </c>
      <c r="L112" s="1015">
        <f t="shared" ref="L112:Q112" si="33">SUM(L111)</f>
        <v>0</v>
      </c>
      <c r="M112" s="1007">
        <f t="shared" si="33"/>
        <v>0</v>
      </c>
      <c r="N112" s="1007">
        <f t="shared" si="33"/>
        <v>0</v>
      </c>
      <c r="O112" s="1016">
        <f t="shared" si="33"/>
        <v>0</v>
      </c>
      <c r="P112" s="1054">
        <f t="shared" si="33"/>
        <v>0</v>
      </c>
      <c r="Q112" s="583">
        <f t="shared" si="33"/>
        <v>0</v>
      </c>
      <c r="R112" s="1181"/>
      <c r="S112" s="287">
        <f>SUM(S111)</f>
        <v>0</v>
      </c>
      <c r="T112" s="288">
        <f>SUM(T111)</f>
        <v>0</v>
      </c>
      <c r="U112" s="571"/>
      <c r="AE112" s="1004"/>
    </row>
    <row r="113" spans="1:31" ht="32.25" hidden="1" customHeight="1" outlineLevel="1" x14ac:dyDescent="0.2">
      <c r="A113" s="1123" t="s">
        <v>17</v>
      </c>
      <c r="B113" s="1125" t="s">
        <v>18</v>
      </c>
      <c r="C113" s="1127" t="s">
        <v>707</v>
      </c>
      <c r="D113" s="1129" t="s">
        <v>704</v>
      </c>
      <c r="E113" s="1145" t="s">
        <v>705</v>
      </c>
      <c r="F113" s="1186">
        <v>18</v>
      </c>
      <c r="G113" s="976" t="s">
        <v>413</v>
      </c>
      <c r="H113" s="971">
        <v>1.3</v>
      </c>
      <c r="I113" s="972">
        <v>1.3</v>
      </c>
      <c r="J113" s="972">
        <v>1</v>
      </c>
      <c r="K113" s="556"/>
      <c r="L113" s="971">
        <v>1.3</v>
      </c>
      <c r="M113" s="972">
        <v>1.3</v>
      </c>
      <c r="N113" s="972">
        <v>1</v>
      </c>
      <c r="O113" s="556"/>
      <c r="P113" s="390">
        <v>1.3</v>
      </c>
      <c r="Q113" s="974">
        <v>1.3</v>
      </c>
      <c r="R113" s="1181" t="s">
        <v>445</v>
      </c>
      <c r="S113" s="971">
        <v>100</v>
      </c>
      <c r="T113" s="972">
        <v>100</v>
      </c>
      <c r="U113" s="1029"/>
      <c r="AE113" s="1004"/>
    </row>
    <row r="114" spans="1:31" hidden="1" outlineLevel="1" x14ac:dyDescent="0.2">
      <c r="A114" s="1123"/>
      <c r="B114" s="1125"/>
      <c r="C114" s="1127"/>
      <c r="D114" s="1129"/>
      <c r="E114" s="1145"/>
      <c r="F114" s="1186"/>
      <c r="G114" s="580" t="s">
        <v>13</v>
      </c>
      <c r="H114" s="581">
        <f>SUM(H113)</f>
        <v>1.3</v>
      </c>
      <c r="I114" s="282">
        <f>SUM(I113)</f>
        <v>1.3</v>
      </c>
      <c r="J114" s="282">
        <f>SUM(J113)</f>
        <v>1</v>
      </c>
      <c r="K114" s="582">
        <f>SUM(K113)</f>
        <v>0</v>
      </c>
      <c r="L114" s="1015">
        <f t="shared" ref="L114:Q114" si="34">SUM(L113)</f>
        <v>1.3</v>
      </c>
      <c r="M114" s="1007">
        <f t="shared" si="34"/>
        <v>1.3</v>
      </c>
      <c r="N114" s="1007">
        <f t="shared" si="34"/>
        <v>1</v>
      </c>
      <c r="O114" s="1016">
        <f t="shared" si="34"/>
        <v>0</v>
      </c>
      <c r="P114" s="1054">
        <f t="shared" si="34"/>
        <v>1.3</v>
      </c>
      <c r="Q114" s="583">
        <f t="shared" si="34"/>
        <v>1.3</v>
      </c>
      <c r="R114" s="1181"/>
      <c r="S114" s="287">
        <f>SUM(S113)</f>
        <v>100</v>
      </c>
      <c r="T114" s="288">
        <f>SUM(T113)</f>
        <v>100</v>
      </c>
      <c r="U114" s="571"/>
      <c r="AE114" s="1004"/>
    </row>
    <row r="115" spans="1:31" hidden="1" outlineLevel="1" x14ac:dyDescent="0.2">
      <c r="A115" s="1123" t="s">
        <v>17</v>
      </c>
      <c r="B115" s="1125" t="s">
        <v>18</v>
      </c>
      <c r="C115" s="1127" t="s">
        <v>708</v>
      </c>
      <c r="D115" s="1129" t="s">
        <v>704</v>
      </c>
      <c r="E115" s="1145" t="s">
        <v>705</v>
      </c>
      <c r="F115" s="1186">
        <v>19</v>
      </c>
      <c r="G115" s="976" t="s">
        <v>413</v>
      </c>
      <c r="H115" s="971"/>
      <c r="I115" s="972"/>
      <c r="J115" s="972"/>
      <c r="K115" s="556"/>
      <c r="L115" s="971"/>
      <c r="M115" s="972"/>
      <c r="N115" s="972"/>
      <c r="O115" s="556"/>
      <c r="P115" s="390"/>
      <c r="Q115" s="974"/>
      <c r="R115" s="1181" t="s">
        <v>445</v>
      </c>
      <c r="S115" s="1034">
        <f>+H115</f>
        <v>0</v>
      </c>
      <c r="T115" s="1035">
        <f>+L115</f>
        <v>0</v>
      </c>
      <c r="U115" s="1029"/>
      <c r="AE115" s="1004"/>
    </row>
    <row r="116" spans="1:31" hidden="1" outlineLevel="1" x14ac:dyDescent="0.2">
      <c r="A116" s="1123"/>
      <c r="B116" s="1125"/>
      <c r="C116" s="1127"/>
      <c r="D116" s="1129"/>
      <c r="E116" s="1145"/>
      <c r="F116" s="1186"/>
      <c r="G116" s="580" t="s">
        <v>13</v>
      </c>
      <c r="H116" s="581">
        <f>SUM(H115)</f>
        <v>0</v>
      </c>
      <c r="I116" s="282">
        <f>SUM(I115)</f>
        <v>0</v>
      </c>
      <c r="J116" s="282">
        <f>SUM(J115)</f>
        <v>0</v>
      </c>
      <c r="K116" s="582">
        <f>SUM(K115)</f>
        <v>0</v>
      </c>
      <c r="L116" s="1015">
        <f t="shared" ref="L116:Q116" si="35">SUM(L115)</f>
        <v>0</v>
      </c>
      <c r="M116" s="1007">
        <f t="shared" si="35"/>
        <v>0</v>
      </c>
      <c r="N116" s="1007">
        <f t="shared" si="35"/>
        <v>0</v>
      </c>
      <c r="O116" s="1016">
        <f t="shared" si="35"/>
        <v>0</v>
      </c>
      <c r="P116" s="1054">
        <f t="shared" si="35"/>
        <v>0</v>
      </c>
      <c r="Q116" s="583">
        <f t="shared" si="35"/>
        <v>0</v>
      </c>
      <c r="R116" s="1181"/>
      <c r="S116" s="287">
        <f>SUM(S115)</f>
        <v>0</v>
      </c>
      <c r="T116" s="288">
        <f>SUM(T115)</f>
        <v>0</v>
      </c>
      <c r="U116" s="571"/>
      <c r="AE116" s="1004"/>
    </row>
    <row r="117" spans="1:31" hidden="1" outlineLevel="1" x14ac:dyDescent="0.2">
      <c r="A117" s="1123" t="s">
        <v>17</v>
      </c>
      <c r="B117" s="1125" t="s">
        <v>18</v>
      </c>
      <c r="C117" s="1127" t="s">
        <v>709</v>
      </c>
      <c r="D117" s="1129" t="s">
        <v>704</v>
      </c>
      <c r="E117" s="1145" t="s">
        <v>705</v>
      </c>
      <c r="F117" s="1186">
        <v>20</v>
      </c>
      <c r="G117" s="976" t="s">
        <v>413</v>
      </c>
      <c r="H117" s="971"/>
      <c r="I117" s="972"/>
      <c r="J117" s="972"/>
      <c r="K117" s="556"/>
      <c r="L117" s="971"/>
      <c r="M117" s="972"/>
      <c r="N117" s="972"/>
      <c r="O117" s="556"/>
      <c r="P117" s="390"/>
      <c r="Q117" s="974"/>
      <c r="R117" s="1181" t="s">
        <v>445</v>
      </c>
      <c r="S117" s="1034">
        <f>+H117</f>
        <v>0</v>
      </c>
      <c r="T117" s="1035">
        <f>+L117</f>
        <v>0</v>
      </c>
      <c r="U117" s="1029"/>
      <c r="AE117" s="1004"/>
    </row>
    <row r="118" spans="1:31" hidden="1" outlineLevel="1" x14ac:dyDescent="0.2">
      <c r="A118" s="1123"/>
      <c r="B118" s="1125"/>
      <c r="C118" s="1127"/>
      <c r="D118" s="1129"/>
      <c r="E118" s="1145"/>
      <c r="F118" s="1186"/>
      <c r="G118" s="580" t="s">
        <v>13</v>
      </c>
      <c r="H118" s="581">
        <f>SUM(H117)</f>
        <v>0</v>
      </c>
      <c r="I118" s="282">
        <f>SUM(I117)</f>
        <v>0</v>
      </c>
      <c r="J118" s="282">
        <f>SUM(J117)</f>
        <v>0</v>
      </c>
      <c r="K118" s="582">
        <f>SUM(K117)</f>
        <v>0</v>
      </c>
      <c r="L118" s="1015">
        <f t="shared" ref="L118:Q118" si="36">SUM(L117)</f>
        <v>0</v>
      </c>
      <c r="M118" s="1007">
        <f t="shared" si="36"/>
        <v>0</v>
      </c>
      <c r="N118" s="1007">
        <f t="shared" si="36"/>
        <v>0</v>
      </c>
      <c r="O118" s="1016">
        <f t="shared" si="36"/>
        <v>0</v>
      </c>
      <c r="P118" s="1054">
        <f t="shared" si="36"/>
        <v>0</v>
      </c>
      <c r="Q118" s="583">
        <f t="shared" si="36"/>
        <v>0</v>
      </c>
      <c r="R118" s="1181"/>
      <c r="S118" s="287">
        <f>SUM(S117)</f>
        <v>0</v>
      </c>
      <c r="T118" s="288">
        <f>SUM(T117)</f>
        <v>0</v>
      </c>
      <c r="U118" s="571"/>
      <c r="AE118" s="1004"/>
    </row>
    <row r="119" spans="1:31" hidden="1" outlineLevel="1" x14ac:dyDescent="0.2">
      <c r="A119" s="1123" t="s">
        <v>17</v>
      </c>
      <c r="B119" s="1125" t="s">
        <v>18</v>
      </c>
      <c r="C119" s="1127" t="s">
        <v>710</v>
      </c>
      <c r="D119" s="1129" t="s">
        <v>704</v>
      </c>
      <c r="E119" s="1145" t="s">
        <v>705</v>
      </c>
      <c r="F119" s="1186">
        <v>21</v>
      </c>
      <c r="G119" s="976" t="s">
        <v>413</v>
      </c>
      <c r="H119" s="971"/>
      <c r="I119" s="972"/>
      <c r="J119" s="972"/>
      <c r="K119" s="556"/>
      <c r="L119" s="971"/>
      <c r="M119" s="972"/>
      <c r="N119" s="972"/>
      <c r="O119" s="556"/>
      <c r="P119" s="390"/>
      <c r="Q119" s="974"/>
      <c r="R119" s="1181" t="s">
        <v>445</v>
      </c>
      <c r="S119" s="1034">
        <f>+H119</f>
        <v>0</v>
      </c>
      <c r="T119" s="1035">
        <f>+L119</f>
        <v>0</v>
      </c>
      <c r="U119" s="1029"/>
      <c r="AE119" s="1004"/>
    </row>
    <row r="120" spans="1:31" hidden="1" outlineLevel="1" x14ac:dyDescent="0.2">
      <c r="A120" s="1123"/>
      <c r="B120" s="1125"/>
      <c r="C120" s="1127"/>
      <c r="D120" s="1129"/>
      <c r="E120" s="1145"/>
      <c r="F120" s="1186"/>
      <c r="G120" s="580" t="s">
        <v>13</v>
      </c>
      <c r="H120" s="581">
        <f>SUM(H119)</f>
        <v>0</v>
      </c>
      <c r="I120" s="282">
        <f>SUM(I119)</f>
        <v>0</v>
      </c>
      <c r="J120" s="282">
        <f>SUM(J119)</f>
        <v>0</v>
      </c>
      <c r="K120" s="582">
        <f>SUM(K119)</f>
        <v>0</v>
      </c>
      <c r="L120" s="1015">
        <f t="shared" ref="L120:Q120" si="37">SUM(L119)</f>
        <v>0</v>
      </c>
      <c r="M120" s="1007">
        <f t="shared" si="37"/>
        <v>0</v>
      </c>
      <c r="N120" s="1007">
        <f t="shared" si="37"/>
        <v>0</v>
      </c>
      <c r="O120" s="1016">
        <f t="shared" si="37"/>
        <v>0</v>
      </c>
      <c r="P120" s="1054">
        <f t="shared" si="37"/>
        <v>0</v>
      </c>
      <c r="Q120" s="583">
        <f t="shared" si="37"/>
        <v>0</v>
      </c>
      <c r="R120" s="1181"/>
      <c r="S120" s="287">
        <f>SUM(S119)</f>
        <v>0</v>
      </c>
      <c r="T120" s="288">
        <f>SUM(T119)</f>
        <v>0</v>
      </c>
      <c r="U120" s="571"/>
      <c r="AE120" s="1004"/>
    </row>
    <row r="121" spans="1:31" ht="33.75" customHeight="1" collapsed="1" x14ac:dyDescent="0.2">
      <c r="A121" s="1123" t="s">
        <v>17</v>
      </c>
      <c r="B121" s="1125" t="s">
        <v>18</v>
      </c>
      <c r="C121" s="1127" t="s">
        <v>415</v>
      </c>
      <c r="D121" s="1129" t="s">
        <v>711</v>
      </c>
      <c r="E121" s="1145" t="s">
        <v>712</v>
      </c>
      <c r="F121" s="1186">
        <v>10</v>
      </c>
      <c r="G121" s="976" t="s">
        <v>413</v>
      </c>
      <c r="H121" s="971">
        <v>1.7</v>
      </c>
      <c r="I121" s="972">
        <v>1.7</v>
      </c>
      <c r="J121" s="972">
        <v>1.3</v>
      </c>
      <c r="K121" s="970"/>
      <c r="L121" s="971">
        <v>1.7</v>
      </c>
      <c r="M121" s="972">
        <v>1.7</v>
      </c>
      <c r="N121" s="972">
        <v>1.3</v>
      </c>
      <c r="O121" s="970"/>
      <c r="P121" s="390">
        <v>3.6</v>
      </c>
      <c r="Q121" s="974">
        <v>3.8</v>
      </c>
      <c r="R121" s="1181" t="s">
        <v>445</v>
      </c>
      <c r="S121" s="1034">
        <v>100</v>
      </c>
      <c r="T121" s="1035">
        <v>100</v>
      </c>
      <c r="U121" s="1029"/>
      <c r="AE121" s="1004"/>
    </row>
    <row r="122" spans="1:31" ht="26.25" customHeight="1" x14ac:dyDescent="0.2">
      <c r="A122" s="1123"/>
      <c r="B122" s="1125"/>
      <c r="C122" s="1127"/>
      <c r="D122" s="1129"/>
      <c r="E122" s="1145"/>
      <c r="F122" s="1186"/>
      <c r="G122" s="580" t="s">
        <v>13</v>
      </c>
      <c r="H122" s="581">
        <f t="shared" ref="H122:Q122" si="38">SUM(H121)</f>
        <v>1.7</v>
      </c>
      <c r="I122" s="282">
        <f t="shared" si="38"/>
        <v>1.7</v>
      </c>
      <c r="J122" s="282">
        <f t="shared" si="38"/>
        <v>1.3</v>
      </c>
      <c r="K122" s="582">
        <f t="shared" si="38"/>
        <v>0</v>
      </c>
      <c r="L122" s="1015">
        <f t="shared" si="38"/>
        <v>1.7</v>
      </c>
      <c r="M122" s="1007">
        <f t="shared" si="38"/>
        <v>1.7</v>
      </c>
      <c r="N122" s="1007">
        <f t="shared" si="38"/>
        <v>1.3</v>
      </c>
      <c r="O122" s="1016">
        <f t="shared" si="38"/>
        <v>0</v>
      </c>
      <c r="P122" s="1054">
        <f t="shared" si="38"/>
        <v>3.6</v>
      </c>
      <c r="Q122" s="583">
        <f t="shared" si="38"/>
        <v>3.8</v>
      </c>
      <c r="R122" s="1181"/>
      <c r="S122" s="287">
        <f>SUM(S121)</f>
        <v>100</v>
      </c>
      <c r="T122" s="288">
        <f>SUM(T121)</f>
        <v>100</v>
      </c>
      <c r="U122" s="571"/>
      <c r="AE122" s="1004"/>
    </row>
    <row r="123" spans="1:31" ht="27" customHeight="1" x14ac:dyDescent="0.2">
      <c r="A123" s="1123" t="s">
        <v>17</v>
      </c>
      <c r="B123" s="1125" t="s">
        <v>18</v>
      </c>
      <c r="C123" s="1127" t="s">
        <v>315</v>
      </c>
      <c r="D123" s="1129" t="s">
        <v>713</v>
      </c>
      <c r="E123" s="1145" t="s">
        <v>714</v>
      </c>
      <c r="F123" s="1185" t="s">
        <v>242</v>
      </c>
      <c r="G123" s="976" t="s">
        <v>413</v>
      </c>
      <c r="H123" s="971">
        <v>8.8000000000000007</v>
      </c>
      <c r="I123" s="972">
        <v>8.8000000000000007</v>
      </c>
      <c r="J123" s="972">
        <v>6</v>
      </c>
      <c r="K123" s="970"/>
      <c r="L123" s="971">
        <v>8.8000000000000007</v>
      </c>
      <c r="M123" s="972">
        <v>8.8000000000000007</v>
      </c>
      <c r="N123" s="972">
        <v>6</v>
      </c>
      <c r="O123" s="970"/>
      <c r="P123" s="390">
        <v>8.1</v>
      </c>
      <c r="Q123" s="974">
        <v>8.3000000000000007</v>
      </c>
      <c r="R123" s="1181" t="s">
        <v>445</v>
      </c>
      <c r="S123" s="1034">
        <v>100</v>
      </c>
      <c r="T123" s="1035">
        <v>100</v>
      </c>
      <c r="U123" s="1022"/>
      <c r="AE123" s="1004"/>
    </row>
    <row r="124" spans="1:31" ht="36.75" customHeight="1" x14ac:dyDescent="0.2">
      <c r="A124" s="1123"/>
      <c r="B124" s="1125"/>
      <c r="C124" s="1127"/>
      <c r="D124" s="1129"/>
      <c r="E124" s="1145"/>
      <c r="F124" s="1185"/>
      <c r="G124" s="580" t="s">
        <v>13</v>
      </c>
      <c r="H124" s="581">
        <f t="shared" ref="H124:Q124" si="39">SUM(H123)</f>
        <v>8.8000000000000007</v>
      </c>
      <c r="I124" s="282">
        <f t="shared" si="39"/>
        <v>8.8000000000000007</v>
      </c>
      <c r="J124" s="282">
        <f t="shared" si="39"/>
        <v>6</v>
      </c>
      <c r="K124" s="582">
        <f t="shared" si="39"/>
        <v>0</v>
      </c>
      <c r="L124" s="1015">
        <f t="shared" si="39"/>
        <v>8.8000000000000007</v>
      </c>
      <c r="M124" s="1007">
        <f t="shared" si="39"/>
        <v>8.8000000000000007</v>
      </c>
      <c r="N124" s="1007">
        <f t="shared" si="39"/>
        <v>6</v>
      </c>
      <c r="O124" s="1016">
        <f t="shared" si="39"/>
        <v>0</v>
      </c>
      <c r="P124" s="1054">
        <f t="shared" si="39"/>
        <v>8.1</v>
      </c>
      <c r="Q124" s="583">
        <f t="shared" si="39"/>
        <v>8.3000000000000007</v>
      </c>
      <c r="R124" s="1181"/>
      <c r="S124" s="287"/>
      <c r="T124" s="288"/>
      <c r="U124" s="571"/>
      <c r="AE124" s="1004"/>
    </row>
    <row r="125" spans="1:31" ht="24.75" customHeight="1" x14ac:dyDescent="0.2">
      <c r="A125" s="1123" t="s">
        <v>17</v>
      </c>
      <c r="B125" s="1125" t="s">
        <v>18</v>
      </c>
      <c r="C125" s="1127" t="s">
        <v>31</v>
      </c>
      <c r="D125" s="1183" t="s">
        <v>715</v>
      </c>
      <c r="E125" s="1184" t="s">
        <v>716</v>
      </c>
      <c r="F125" s="1186" t="s">
        <v>646</v>
      </c>
      <c r="G125" s="976" t="s">
        <v>413</v>
      </c>
      <c r="H125" s="971">
        <v>4.0999999999999996</v>
      </c>
      <c r="I125" s="972">
        <v>4.0999999999999996</v>
      </c>
      <c r="J125" s="1064"/>
      <c r="K125" s="970"/>
      <c r="L125" s="971"/>
      <c r="M125" s="972"/>
      <c r="N125" s="972"/>
      <c r="O125" s="970"/>
      <c r="P125" s="390">
        <v>4.0999999999999996</v>
      </c>
      <c r="Q125" s="974">
        <v>4.0999999999999996</v>
      </c>
      <c r="R125" s="1181" t="s">
        <v>445</v>
      </c>
      <c r="S125" s="1034">
        <v>100</v>
      </c>
      <c r="T125" s="1035">
        <f>+L125</f>
        <v>0</v>
      </c>
      <c r="U125" s="1001" t="s">
        <v>717</v>
      </c>
      <c r="AE125" s="1004"/>
    </row>
    <row r="126" spans="1:31" ht="32.25" customHeight="1" x14ac:dyDescent="0.2">
      <c r="A126" s="1123"/>
      <c r="B126" s="1125"/>
      <c r="C126" s="1127"/>
      <c r="D126" s="1183"/>
      <c r="E126" s="1184"/>
      <c r="F126" s="1186"/>
      <c r="G126" s="580" t="s">
        <v>13</v>
      </c>
      <c r="H126" s="581">
        <f t="shared" ref="H126:Q126" si="40">SUM(H125)</f>
        <v>4.0999999999999996</v>
      </c>
      <c r="I126" s="282">
        <f t="shared" si="40"/>
        <v>4.0999999999999996</v>
      </c>
      <c r="J126" s="282">
        <f t="shared" si="40"/>
        <v>0</v>
      </c>
      <c r="K126" s="582">
        <f t="shared" si="40"/>
        <v>0</v>
      </c>
      <c r="L126" s="1015">
        <f t="shared" si="40"/>
        <v>0</v>
      </c>
      <c r="M126" s="1007">
        <f t="shared" si="40"/>
        <v>0</v>
      </c>
      <c r="N126" s="1007">
        <f t="shared" si="40"/>
        <v>0</v>
      </c>
      <c r="O126" s="1016">
        <f t="shared" si="40"/>
        <v>0</v>
      </c>
      <c r="P126" s="1054">
        <f t="shared" si="40"/>
        <v>4.0999999999999996</v>
      </c>
      <c r="Q126" s="583">
        <f t="shared" si="40"/>
        <v>4.0999999999999996</v>
      </c>
      <c r="R126" s="1181"/>
      <c r="S126" s="287">
        <f>SUM(S125)</f>
        <v>100</v>
      </c>
      <c r="T126" s="288">
        <f>SUM(T125)</f>
        <v>0</v>
      </c>
      <c r="U126" s="571"/>
      <c r="AE126" s="1004"/>
    </row>
    <row r="127" spans="1:31" ht="24.75" hidden="1" customHeight="1" outlineLevel="1" x14ac:dyDescent="0.2">
      <c r="A127" s="1123" t="s">
        <v>17</v>
      </c>
      <c r="B127" s="1125" t="s">
        <v>18</v>
      </c>
      <c r="C127" s="1127" t="s">
        <v>718</v>
      </c>
      <c r="D127" s="1183" t="s">
        <v>715</v>
      </c>
      <c r="E127" s="1184" t="s">
        <v>716</v>
      </c>
      <c r="F127" s="1186">
        <v>14</v>
      </c>
      <c r="G127" s="976" t="s">
        <v>413</v>
      </c>
      <c r="H127" s="971"/>
      <c r="I127" s="972"/>
      <c r="J127" s="1064"/>
      <c r="K127" s="970"/>
      <c r="L127" s="971"/>
      <c r="M127" s="972"/>
      <c r="N127" s="972"/>
      <c r="O127" s="970"/>
      <c r="P127" s="390"/>
      <c r="Q127" s="974"/>
      <c r="R127" s="1181" t="s">
        <v>445</v>
      </c>
      <c r="S127" s="971">
        <f>+H127</f>
        <v>0</v>
      </c>
      <c r="T127" s="972">
        <f>+L127</f>
        <v>0</v>
      </c>
      <c r="U127" s="1029"/>
      <c r="AE127" s="1004"/>
    </row>
    <row r="128" spans="1:31" ht="32.25" hidden="1" customHeight="1" outlineLevel="1" x14ac:dyDescent="0.2">
      <c r="A128" s="1123"/>
      <c r="B128" s="1125"/>
      <c r="C128" s="1127"/>
      <c r="D128" s="1183"/>
      <c r="E128" s="1184"/>
      <c r="F128" s="1186"/>
      <c r="G128" s="580" t="s">
        <v>13</v>
      </c>
      <c r="H128" s="581">
        <f>SUM(H127)</f>
        <v>0</v>
      </c>
      <c r="I128" s="282">
        <f>SUM(I127)</f>
        <v>0</v>
      </c>
      <c r="J128" s="282">
        <f>SUM(J127)</f>
        <v>0</v>
      </c>
      <c r="K128" s="582">
        <f>SUM(K127)</f>
        <v>0</v>
      </c>
      <c r="L128" s="1015">
        <f t="shared" ref="L128:Q128" si="41">SUM(L127)</f>
        <v>0</v>
      </c>
      <c r="M128" s="1007">
        <f t="shared" si="41"/>
        <v>0</v>
      </c>
      <c r="N128" s="1007">
        <f t="shared" si="41"/>
        <v>0</v>
      </c>
      <c r="O128" s="1016">
        <f t="shared" si="41"/>
        <v>0</v>
      </c>
      <c r="P128" s="1054">
        <f t="shared" si="41"/>
        <v>0</v>
      </c>
      <c r="Q128" s="583">
        <f t="shared" si="41"/>
        <v>0</v>
      </c>
      <c r="R128" s="1181"/>
      <c r="S128" s="287">
        <f>SUM(S127)</f>
        <v>0</v>
      </c>
      <c r="T128" s="288">
        <f>SUM(T127)</f>
        <v>0</v>
      </c>
      <c r="U128" s="571"/>
      <c r="AE128" s="1004"/>
    </row>
    <row r="129" spans="1:31" ht="24.75" hidden="1" customHeight="1" outlineLevel="1" x14ac:dyDescent="0.2">
      <c r="A129" s="1123" t="s">
        <v>17</v>
      </c>
      <c r="B129" s="1125" t="s">
        <v>18</v>
      </c>
      <c r="C129" s="1127" t="s">
        <v>719</v>
      </c>
      <c r="D129" s="1183" t="s">
        <v>715</v>
      </c>
      <c r="E129" s="1184" t="s">
        <v>716</v>
      </c>
      <c r="F129" s="1186">
        <v>15</v>
      </c>
      <c r="G129" s="976" t="s">
        <v>413</v>
      </c>
      <c r="H129" s="971"/>
      <c r="I129" s="972"/>
      <c r="J129" s="1064"/>
      <c r="K129" s="970"/>
      <c r="L129" s="971"/>
      <c r="M129" s="972"/>
      <c r="N129" s="972"/>
      <c r="O129" s="970"/>
      <c r="P129" s="390"/>
      <c r="Q129" s="974"/>
      <c r="R129" s="1181" t="s">
        <v>445</v>
      </c>
      <c r="S129" s="971">
        <f>+H129</f>
        <v>0</v>
      </c>
      <c r="T129" s="972">
        <f>+L129</f>
        <v>0</v>
      </c>
      <c r="U129" s="1029"/>
      <c r="AE129" s="1004"/>
    </row>
    <row r="130" spans="1:31" ht="32.25" hidden="1" customHeight="1" outlineLevel="1" x14ac:dyDescent="0.2">
      <c r="A130" s="1123"/>
      <c r="B130" s="1125"/>
      <c r="C130" s="1127"/>
      <c r="D130" s="1183"/>
      <c r="E130" s="1184"/>
      <c r="F130" s="1186"/>
      <c r="G130" s="580" t="s">
        <v>13</v>
      </c>
      <c r="H130" s="581">
        <f>SUM(H129)</f>
        <v>0</v>
      </c>
      <c r="I130" s="282">
        <f>SUM(I129)</f>
        <v>0</v>
      </c>
      <c r="J130" s="282">
        <f>SUM(J129)</f>
        <v>0</v>
      </c>
      <c r="K130" s="582">
        <f>SUM(K129)</f>
        <v>0</v>
      </c>
      <c r="L130" s="1015">
        <f t="shared" ref="L130:Q130" si="42">SUM(L129)</f>
        <v>0</v>
      </c>
      <c r="M130" s="1007">
        <f t="shared" si="42"/>
        <v>0</v>
      </c>
      <c r="N130" s="1007">
        <f t="shared" si="42"/>
        <v>0</v>
      </c>
      <c r="O130" s="1016">
        <f t="shared" si="42"/>
        <v>0</v>
      </c>
      <c r="P130" s="1054">
        <f t="shared" si="42"/>
        <v>0</v>
      </c>
      <c r="Q130" s="583">
        <f t="shared" si="42"/>
        <v>0</v>
      </c>
      <c r="R130" s="1181"/>
      <c r="S130" s="287">
        <f>SUM(S129)</f>
        <v>0</v>
      </c>
      <c r="T130" s="288">
        <f>SUM(T129)</f>
        <v>0</v>
      </c>
      <c r="U130" s="571"/>
      <c r="AE130" s="1004"/>
    </row>
    <row r="131" spans="1:31" ht="24.75" hidden="1" customHeight="1" outlineLevel="1" x14ac:dyDescent="0.2">
      <c r="A131" s="1123" t="s">
        <v>17</v>
      </c>
      <c r="B131" s="1125" t="s">
        <v>18</v>
      </c>
      <c r="C131" s="1127" t="s">
        <v>720</v>
      </c>
      <c r="D131" s="1183" t="s">
        <v>715</v>
      </c>
      <c r="E131" s="1184" t="s">
        <v>716</v>
      </c>
      <c r="F131" s="1186">
        <v>16</v>
      </c>
      <c r="G131" s="976" t="s">
        <v>413</v>
      </c>
      <c r="H131" s="971"/>
      <c r="I131" s="972"/>
      <c r="J131" s="1064"/>
      <c r="K131" s="970"/>
      <c r="L131" s="971"/>
      <c r="M131" s="972"/>
      <c r="N131" s="972"/>
      <c r="O131" s="970"/>
      <c r="P131" s="390"/>
      <c r="Q131" s="974"/>
      <c r="R131" s="1181" t="s">
        <v>445</v>
      </c>
      <c r="S131" s="971">
        <f>+H131</f>
        <v>0</v>
      </c>
      <c r="T131" s="972">
        <f>+L131</f>
        <v>0</v>
      </c>
      <c r="U131" s="1029"/>
      <c r="AE131" s="1004"/>
    </row>
    <row r="132" spans="1:31" ht="32.25" hidden="1" customHeight="1" outlineLevel="1" x14ac:dyDescent="0.2">
      <c r="A132" s="1123"/>
      <c r="B132" s="1125"/>
      <c r="C132" s="1127"/>
      <c r="D132" s="1183"/>
      <c r="E132" s="1184"/>
      <c r="F132" s="1186"/>
      <c r="G132" s="580" t="s">
        <v>13</v>
      </c>
      <c r="H132" s="581">
        <f>SUM(H131)</f>
        <v>0</v>
      </c>
      <c r="I132" s="282">
        <f>SUM(I131)</f>
        <v>0</v>
      </c>
      <c r="J132" s="282">
        <f>SUM(J131)</f>
        <v>0</v>
      </c>
      <c r="K132" s="582">
        <f>SUM(K131)</f>
        <v>0</v>
      </c>
      <c r="L132" s="1015">
        <f t="shared" ref="L132:Q132" si="43">SUM(L131)</f>
        <v>0</v>
      </c>
      <c r="M132" s="1007">
        <f t="shared" si="43"/>
        <v>0</v>
      </c>
      <c r="N132" s="1007">
        <f t="shared" si="43"/>
        <v>0</v>
      </c>
      <c r="O132" s="1016">
        <f t="shared" si="43"/>
        <v>0</v>
      </c>
      <c r="P132" s="1054">
        <f t="shared" si="43"/>
        <v>0</v>
      </c>
      <c r="Q132" s="583">
        <f t="shared" si="43"/>
        <v>0</v>
      </c>
      <c r="R132" s="1181"/>
      <c r="S132" s="287">
        <f>SUM(S131)</f>
        <v>0</v>
      </c>
      <c r="T132" s="288">
        <f>SUM(T131)</f>
        <v>0</v>
      </c>
      <c r="U132" s="571"/>
      <c r="AE132" s="1004"/>
    </row>
    <row r="133" spans="1:31" ht="24.75" hidden="1" customHeight="1" outlineLevel="1" x14ac:dyDescent="0.2">
      <c r="A133" s="1123" t="s">
        <v>17</v>
      </c>
      <c r="B133" s="1125" t="s">
        <v>18</v>
      </c>
      <c r="C133" s="1127" t="s">
        <v>721</v>
      </c>
      <c r="D133" s="1183" t="s">
        <v>715</v>
      </c>
      <c r="E133" s="1184" t="s">
        <v>716</v>
      </c>
      <c r="F133" s="1186">
        <v>17</v>
      </c>
      <c r="G133" s="976" t="s">
        <v>413</v>
      </c>
      <c r="H133" s="971"/>
      <c r="I133" s="972"/>
      <c r="J133" s="1064"/>
      <c r="K133" s="970"/>
      <c r="L133" s="971"/>
      <c r="M133" s="972"/>
      <c r="N133" s="972"/>
      <c r="O133" s="970"/>
      <c r="P133" s="390"/>
      <c r="Q133" s="974"/>
      <c r="R133" s="1181" t="s">
        <v>445</v>
      </c>
      <c r="S133" s="971">
        <f>+H133</f>
        <v>0</v>
      </c>
      <c r="T133" s="972">
        <f>+L133</f>
        <v>0</v>
      </c>
      <c r="U133" s="1029"/>
      <c r="AE133" s="1004"/>
    </row>
    <row r="134" spans="1:31" ht="32.25" hidden="1" customHeight="1" outlineLevel="1" x14ac:dyDescent="0.2">
      <c r="A134" s="1123"/>
      <c r="B134" s="1125"/>
      <c r="C134" s="1127"/>
      <c r="D134" s="1183"/>
      <c r="E134" s="1184"/>
      <c r="F134" s="1186"/>
      <c r="G134" s="580" t="s">
        <v>13</v>
      </c>
      <c r="H134" s="581">
        <f>SUM(H133)</f>
        <v>0</v>
      </c>
      <c r="I134" s="282">
        <f>SUM(I133)</f>
        <v>0</v>
      </c>
      <c r="J134" s="282">
        <f>SUM(J133)</f>
        <v>0</v>
      </c>
      <c r="K134" s="582">
        <f>SUM(K133)</f>
        <v>0</v>
      </c>
      <c r="L134" s="1015">
        <f t="shared" ref="L134:Q134" si="44">SUM(L133)</f>
        <v>0</v>
      </c>
      <c r="M134" s="1007">
        <f t="shared" si="44"/>
        <v>0</v>
      </c>
      <c r="N134" s="1007">
        <f t="shared" si="44"/>
        <v>0</v>
      </c>
      <c r="O134" s="1016">
        <f t="shared" si="44"/>
        <v>0</v>
      </c>
      <c r="P134" s="1054">
        <f t="shared" si="44"/>
        <v>0</v>
      </c>
      <c r="Q134" s="583">
        <f t="shared" si="44"/>
        <v>0</v>
      </c>
      <c r="R134" s="1181"/>
      <c r="S134" s="287">
        <f>SUM(S133)</f>
        <v>0</v>
      </c>
      <c r="T134" s="288">
        <f>SUM(T133)</f>
        <v>0</v>
      </c>
      <c r="U134" s="571"/>
      <c r="AE134" s="1004"/>
    </row>
    <row r="135" spans="1:31" ht="24.75" hidden="1" customHeight="1" outlineLevel="1" x14ac:dyDescent="0.2">
      <c r="A135" s="1123" t="s">
        <v>17</v>
      </c>
      <c r="B135" s="1125" t="s">
        <v>18</v>
      </c>
      <c r="C135" s="1127" t="s">
        <v>722</v>
      </c>
      <c r="D135" s="1183" t="s">
        <v>715</v>
      </c>
      <c r="E135" s="1184" t="s">
        <v>716</v>
      </c>
      <c r="F135" s="1186">
        <v>18</v>
      </c>
      <c r="G135" s="976" t="s">
        <v>413</v>
      </c>
      <c r="H135" s="971"/>
      <c r="I135" s="972"/>
      <c r="J135" s="1064"/>
      <c r="K135" s="970"/>
      <c r="L135" s="971"/>
      <c r="M135" s="972"/>
      <c r="N135" s="972"/>
      <c r="O135" s="970"/>
      <c r="P135" s="390"/>
      <c r="Q135" s="974"/>
      <c r="R135" s="1181" t="s">
        <v>445</v>
      </c>
      <c r="S135" s="971">
        <f>+H135</f>
        <v>0</v>
      </c>
      <c r="T135" s="972">
        <f>+L135</f>
        <v>0</v>
      </c>
      <c r="U135" s="1029"/>
      <c r="AE135" s="1004"/>
    </row>
    <row r="136" spans="1:31" ht="32.25" hidden="1" customHeight="1" outlineLevel="1" x14ac:dyDescent="0.2">
      <c r="A136" s="1123"/>
      <c r="B136" s="1125"/>
      <c r="C136" s="1127"/>
      <c r="D136" s="1183"/>
      <c r="E136" s="1184"/>
      <c r="F136" s="1186"/>
      <c r="G136" s="580" t="s">
        <v>13</v>
      </c>
      <c r="H136" s="581">
        <f>SUM(H135)</f>
        <v>0</v>
      </c>
      <c r="I136" s="282">
        <f>SUM(I135)</f>
        <v>0</v>
      </c>
      <c r="J136" s="282">
        <f>SUM(J135)</f>
        <v>0</v>
      </c>
      <c r="K136" s="582">
        <f>SUM(K135)</f>
        <v>0</v>
      </c>
      <c r="L136" s="1015">
        <f t="shared" ref="L136:Q136" si="45">SUM(L135)</f>
        <v>0</v>
      </c>
      <c r="M136" s="1007">
        <f t="shared" si="45"/>
        <v>0</v>
      </c>
      <c r="N136" s="1007">
        <f t="shared" si="45"/>
        <v>0</v>
      </c>
      <c r="O136" s="1016">
        <f t="shared" si="45"/>
        <v>0</v>
      </c>
      <c r="P136" s="1054">
        <f t="shared" si="45"/>
        <v>0</v>
      </c>
      <c r="Q136" s="583">
        <f t="shared" si="45"/>
        <v>0</v>
      </c>
      <c r="R136" s="1181"/>
      <c r="S136" s="287">
        <f>SUM(S135)</f>
        <v>0</v>
      </c>
      <c r="T136" s="288">
        <f>SUM(T135)</f>
        <v>0</v>
      </c>
      <c r="U136" s="571">
        <f>SUM(U135)</f>
        <v>0</v>
      </c>
      <c r="AE136" s="1004"/>
    </row>
    <row r="137" spans="1:31" ht="24.75" hidden="1" customHeight="1" outlineLevel="1" x14ac:dyDescent="0.2">
      <c r="A137" s="1123" t="s">
        <v>17</v>
      </c>
      <c r="B137" s="1125" t="s">
        <v>18</v>
      </c>
      <c r="C137" s="1127" t="s">
        <v>723</v>
      </c>
      <c r="D137" s="1183" t="s">
        <v>715</v>
      </c>
      <c r="E137" s="1184" t="s">
        <v>716</v>
      </c>
      <c r="F137" s="1186">
        <v>19</v>
      </c>
      <c r="G137" s="976" t="s">
        <v>413</v>
      </c>
      <c r="H137" s="971"/>
      <c r="I137" s="972"/>
      <c r="J137" s="1064"/>
      <c r="K137" s="970"/>
      <c r="L137" s="971"/>
      <c r="M137" s="972"/>
      <c r="N137" s="972"/>
      <c r="O137" s="970"/>
      <c r="P137" s="390"/>
      <c r="Q137" s="974"/>
      <c r="R137" s="1181" t="s">
        <v>445</v>
      </c>
      <c r="S137" s="971">
        <f>+H137</f>
        <v>0</v>
      </c>
      <c r="T137" s="972">
        <f>+L137</f>
        <v>0</v>
      </c>
      <c r="U137" s="1029"/>
      <c r="AE137" s="1004"/>
    </row>
    <row r="138" spans="1:31" ht="32.25" hidden="1" customHeight="1" outlineLevel="1" x14ac:dyDescent="0.2">
      <c r="A138" s="1123"/>
      <c r="B138" s="1125"/>
      <c r="C138" s="1127"/>
      <c r="D138" s="1183"/>
      <c r="E138" s="1184"/>
      <c r="F138" s="1186"/>
      <c r="G138" s="580" t="s">
        <v>13</v>
      </c>
      <c r="H138" s="581">
        <f>SUM(H137)</f>
        <v>0</v>
      </c>
      <c r="I138" s="282">
        <f>SUM(I137)</f>
        <v>0</v>
      </c>
      <c r="J138" s="282">
        <f>SUM(J137)</f>
        <v>0</v>
      </c>
      <c r="K138" s="582">
        <f>SUM(K137)</f>
        <v>0</v>
      </c>
      <c r="L138" s="1015">
        <f t="shared" ref="L138:Q138" si="46">SUM(L137)</f>
        <v>0</v>
      </c>
      <c r="M138" s="1007">
        <f t="shared" si="46"/>
        <v>0</v>
      </c>
      <c r="N138" s="1007">
        <f t="shared" si="46"/>
        <v>0</v>
      </c>
      <c r="O138" s="1016">
        <f t="shared" si="46"/>
        <v>0</v>
      </c>
      <c r="P138" s="1054">
        <f t="shared" si="46"/>
        <v>0</v>
      </c>
      <c r="Q138" s="583">
        <f t="shared" si="46"/>
        <v>0</v>
      </c>
      <c r="R138" s="1181"/>
      <c r="S138" s="287">
        <f>SUM(S137)</f>
        <v>0</v>
      </c>
      <c r="T138" s="288">
        <f>SUM(T137)</f>
        <v>0</v>
      </c>
      <c r="U138" s="571">
        <f>SUM(U137)</f>
        <v>0</v>
      </c>
      <c r="AE138" s="1004"/>
    </row>
    <row r="139" spans="1:31" ht="24.75" hidden="1" customHeight="1" outlineLevel="1" x14ac:dyDescent="0.2">
      <c r="A139" s="1123" t="s">
        <v>17</v>
      </c>
      <c r="B139" s="1125" t="s">
        <v>18</v>
      </c>
      <c r="C139" s="1127" t="s">
        <v>724</v>
      </c>
      <c r="D139" s="1183" t="s">
        <v>715</v>
      </c>
      <c r="E139" s="1184" t="s">
        <v>716</v>
      </c>
      <c r="F139" s="1186">
        <v>20</v>
      </c>
      <c r="G139" s="976" t="s">
        <v>413</v>
      </c>
      <c r="H139" s="971"/>
      <c r="I139" s="972"/>
      <c r="J139" s="1064"/>
      <c r="K139" s="970"/>
      <c r="L139" s="971"/>
      <c r="M139" s="972"/>
      <c r="N139" s="972"/>
      <c r="O139" s="970"/>
      <c r="P139" s="390"/>
      <c r="Q139" s="974"/>
      <c r="R139" s="1181" t="s">
        <v>445</v>
      </c>
      <c r="S139" s="971">
        <f>+H139</f>
        <v>0</v>
      </c>
      <c r="T139" s="972">
        <f>+L139</f>
        <v>0</v>
      </c>
      <c r="U139" s="1029"/>
      <c r="AE139" s="1004"/>
    </row>
    <row r="140" spans="1:31" ht="32.25" hidden="1" customHeight="1" outlineLevel="1" x14ac:dyDescent="0.2">
      <c r="A140" s="1123"/>
      <c r="B140" s="1125"/>
      <c r="C140" s="1127"/>
      <c r="D140" s="1183"/>
      <c r="E140" s="1184"/>
      <c r="F140" s="1186"/>
      <c r="G140" s="580" t="s">
        <v>13</v>
      </c>
      <c r="H140" s="581">
        <f>SUM(H139)</f>
        <v>0</v>
      </c>
      <c r="I140" s="282">
        <f>SUM(I139)</f>
        <v>0</v>
      </c>
      <c r="J140" s="282">
        <f>SUM(J139)</f>
        <v>0</v>
      </c>
      <c r="K140" s="582">
        <f>SUM(K139)</f>
        <v>0</v>
      </c>
      <c r="L140" s="1015">
        <f t="shared" ref="L140:Q140" si="47">SUM(L139)</f>
        <v>0</v>
      </c>
      <c r="M140" s="1007">
        <f t="shared" si="47"/>
        <v>0</v>
      </c>
      <c r="N140" s="1007">
        <f t="shared" si="47"/>
        <v>0</v>
      </c>
      <c r="O140" s="1016">
        <f t="shared" si="47"/>
        <v>0</v>
      </c>
      <c r="P140" s="1054">
        <f t="shared" si="47"/>
        <v>0</v>
      </c>
      <c r="Q140" s="583">
        <f t="shared" si="47"/>
        <v>0</v>
      </c>
      <c r="R140" s="1181"/>
      <c r="S140" s="287">
        <f>SUM(S139)</f>
        <v>0</v>
      </c>
      <c r="T140" s="288">
        <f>SUM(T139)</f>
        <v>0</v>
      </c>
      <c r="U140" s="571">
        <f>SUM(U139)</f>
        <v>0</v>
      </c>
      <c r="AE140" s="1004"/>
    </row>
    <row r="141" spans="1:31" ht="24.75" hidden="1" customHeight="1" outlineLevel="1" x14ac:dyDescent="0.2">
      <c r="A141" s="1123" t="s">
        <v>17</v>
      </c>
      <c r="B141" s="1125" t="s">
        <v>18</v>
      </c>
      <c r="C141" s="1127" t="s">
        <v>725</v>
      </c>
      <c r="D141" s="1183" t="s">
        <v>715</v>
      </c>
      <c r="E141" s="1184" t="s">
        <v>716</v>
      </c>
      <c r="F141" s="1186">
        <v>21</v>
      </c>
      <c r="G141" s="976" t="s">
        <v>413</v>
      </c>
      <c r="H141" s="971"/>
      <c r="I141" s="972"/>
      <c r="J141" s="1064"/>
      <c r="K141" s="970"/>
      <c r="L141" s="971"/>
      <c r="M141" s="972"/>
      <c r="N141" s="972"/>
      <c r="O141" s="970"/>
      <c r="P141" s="390"/>
      <c r="Q141" s="974"/>
      <c r="R141" s="1181" t="s">
        <v>445</v>
      </c>
      <c r="S141" s="971">
        <f>+H141</f>
        <v>0</v>
      </c>
      <c r="T141" s="972">
        <f>+L141</f>
        <v>0</v>
      </c>
      <c r="U141" s="1029"/>
      <c r="AE141" s="1004"/>
    </row>
    <row r="142" spans="1:31" ht="32.25" hidden="1" customHeight="1" outlineLevel="1" x14ac:dyDescent="0.2">
      <c r="A142" s="1123"/>
      <c r="B142" s="1125"/>
      <c r="C142" s="1127"/>
      <c r="D142" s="1183"/>
      <c r="E142" s="1184"/>
      <c r="F142" s="1186"/>
      <c r="G142" s="580" t="s">
        <v>13</v>
      </c>
      <c r="H142" s="581">
        <f>SUM(H141)</f>
        <v>0</v>
      </c>
      <c r="I142" s="282">
        <f>SUM(I141)</f>
        <v>0</v>
      </c>
      <c r="J142" s="282">
        <f>SUM(J141)</f>
        <v>0</v>
      </c>
      <c r="K142" s="582">
        <f>SUM(K141)</f>
        <v>0</v>
      </c>
      <c r="L142" s="1015">
        <f t="shared" ref="L142:Q142" si="48">SUM(L141)</f>
        <v>0</v>
      </c>
      <c r="M142" s="1007">
        <f t="shared" si="48"/>
        <v>0</v>
      </c>
      <c r="N142" s="1007">
        <f t="shared" si="48"/>
        <v>0</v>
      </c>
      <c r="O142" s="1016">
        <f t="shared" si="48"/>
        <v>0</v>
      </c>
      <c r="P142" s="1054">
        <f t="shared" si="48"/>
        <v>0</v>
      </c>
      <c r="Q142" s="583">
        <f t="shared" si="48"/>
        <v>0</v>
      </c>
      <c r="R142" s="1181"/>
      <c r="S142" s="287">
        <f>SUM(S141)</f>
        <v>0</v>
      </c>
      <c r="T142" s="288">
        <f>SUM(T141)</f>
        <v>0</v>
      </c>
      <c r="U142" s="571">
        <f>SUM(U141)</f>
        <v>0</v>
      </c>
      <c r="AE142" s="1004"/>
    </row>
    <row r="143" spans="1:31" ht="36" customHeight="1" collapsed="1" x14ac:dyDescent="0.2">
      <c r="A143" s="1159" t="s">
        <v>17</v>
      </c>
      <c r="B143" s="1160" t="s">
        <v>18</v>
      </c>
      <c r="C143" s="1194" t="s">
        <v>32</v>
      </c>
      <c r="D143" s="1195" t="s">
        <v>726</v>
      </c>
      <c r="E143" s="1164" t="s">
        <v>727</v>
      </c>
      <c r="F143" s="1197">
        <v>11</v>
      </c>
      <c r="G143" s="973" t="s">
        <v>224</v>
      </c>
      <c r="H143" s="971">
        <v>39</v>
      </c>
      <c r="I143" s="972">
        <v>34</v>
      </c>
      <c r="J143" s="972"/>
      <c r="K143" s="944">
        <v>5</v>
      </c>
      <c r="L143" s="971">
        <v>31.6</v>
      </c>
      <c r="M143" s="972">
        <v>29.8</v>
      </c>
      <c r="N143" s="972"/>
      <c r="O143" s="970">
        <v>1.8</v>
      </c>
      <c r="P143" s="1065">
        <v>80</v>
      </c>
      <c r="Q143" s="1005">
        <v>80</v>
      </c>
      <c r="R143" s="1193" t="s">
        <v>728</v>
      </c>
      <c r="S143" s="971">
        <v>450</v>
      </c>
      <c r="T143" s="972">
        <v>450</v>
      </c>
      <c r="U143" s="1066"/>
      <c r="V143" s="593"/>
      <c r="W143" s="1011"/>
      <c r="X143" s="490"/>
      <c r="AE143" s="1004"/>
    </row>
    <row r="144" spans="1:31" ht="20.25" customHeight="1" x14ac:dyDescent="0.2">
      <c r="A144" s="1140"/>
      <c r="B144" s="1141"/>
      <c r="C144" s="1142"/>
      <c r="D144" s="1143"/>
      <c r="E144" s="1196"/>
      <c r="F144" s="1198"/>
      <c r="G144" s="580" t="s">
        <v>13</v>
      </c>
      <c r="H144" s="581">
        <f t="shared" ref="H144:Q144" si="49">SUM(H143)</f>
        <v>39</v>
      </c>
      <c r="I144" s="282">
        <f t="shared" si="49"/>
        <v>34</v>
      </c>
      <c r="J144" s="282">
        <f t="shared" si="49"/>
        <v>0</v>
      </c>
      <c r="K144" s="582">
        <f t="shared" si="49"/>
        <v>5</v>
      </c>
      <c r="L144" s="1015">
        <f t="shared" si="49"/>
        <v>31.6</v>
      </c>
      <c r="M144" s="1007">
        <f t="shared" si="49"/>
        <v>29.8</v>
      </c>
      <c r="N144" s="1007">
        <f t="shared" si="49"/>
        <v>0</v>
      </c>
      <c r="O144" s="1016">
        <f t="shared" si="49"/>
        <v>1.8</v>
      </c>
      <c r="P144" s="1054">
        <f t="shared" si="49"/>
        <v>80</v>
      </c>
      <c r="Q144" s="583">
        <f t="shared" si="49"/>
        <v>80</v>
      </c>
      <c r="R144" s="1193"/>
      <c r="S144" s="287">
        <f>SUM(S143)</f>
        <v>450</v>
      </c>
      <c r="T144" s="288">
        <f>SUM(T143)</f>
        <v>450</v>
      </c>
      <c r="U144" s="571"/>
      <c r="V144" s="1067"/>
      <c r="W144" s="1067"/>
      <c r="AE144" s="1004"/>
    </row>
    <row r="145" spans="1:34" ht="33.75" customHeight="1" x14ac:dyDescent="0.2">
      <c r="A145" s="1123" t="s">
        <v>17</v>
      </c>
      <c r="B145" s="1125" t="s">
        <v>18</v>
      </c>
      <c r="C145" s="1127" t="s">
        <v>425</v>
      </c>
      <c r="D145" s="1183" t="s">
        <v>729</v>
      </c>
      <c r="E145" s="1184" t="s">
        <v>730</v>
      </c>
      <c r="F145" s="1185" t="s">
        <v>242</v>
      </c>
      <c r="G145" s="976" t="s">
        <v>413</v>
      </c>
      <c r="H145" s="971">
        <v>16.7</v>
      </c>
      <c r="I145" s="972">
        <v>16.7</v>
      </c>
      <c r="J145" s="972">
        <v>9.8000000000000007</v>
      </c>
      <c r="K145" s="970"/>
      <c r="L145" s="971">
        <v>16.7</v>
      </c>
      <c r="M145" s="972">
        <v>16.7</v>
      </c>
      <c r="N145" s="972">
        <v>9.8000000000000007</v>
      </c>
      <c r="O145" s="970"/>
      <c r="P145" s="390">
        <v>17.100000000000001</v>
      </c>
      <c r="Q145" s="974">
        <v>17.100000000000001</v>
      </c>
      <c r="R145" s="1181" t="s">
        <v>445</v>
      </c>
      <c r="S145" s="1034">
        <v>100</v>
      </c>
      <c r="T145" s="1035">
        <v>100</v>
      </c>
      <c r="U145" s="1029"/>
      <c r="AE145" s="1004"/>
    </row>
    <row r="146" spans="1:34" ht="24" customHeight="1" x14ac:dyDescent="0.2">
      <c r="A146" s="1123"/>
      <c r="B146" s="1125"/>
      <c r="C146" s="1127"/>
      <c r="D146" s="1183"/>
      <c r="E146" s="1184"/>
      <c r="F146" s="1185"/>
      <c r="G146" s="580" t="s">
        <v>13</v>
      </c>
      <c r="H146" s="581">
        <f t="shared" ref="H146:Q146" si="50">SUM(H145)</f>
        <v>16.7</v>
      </c>
      <c r="I146" s="282">
        <f t="shared" si="50"/>
        <v>16.7</v>
      </c>
      <c r="J146" s="282">
        <f t="shared" si="50"/>
        <v>9.8000000000000007</v>
      </c>
      <c r="K146" s="582">
        <f t="shared" si="50"/>
        <v>0</v>
      </c>
      <c r="L146" s="1015">
        <f t="shared" si="50"/>
        <v>16.7</v>
      </c>
      <c r="M146" s="1007">
        <f t="shared" si="50"/>
        <v>16.7</v>
      </c>
      <c r="N146" s="1007">
        <f t="shared" si="50"/>
        <v>9.8000000000000007</v>
      </c>
      <c r="O146" s="1016">
        <f t="shared" si="50"/>
        <v>0</v>
      </c>
      <c r="P146" s="1054">
        <f t="shared" si="50"/>
        <v>17.100000000000001</v>
      </c>
      <c r="Q146" s="583">
        <f t="shared" si="50"/>
        <v>17.100000000000001</v>
      </c>
      <c r="R146" s="1181"/>
      <c r="S146" s="287">
        <f>SUM(S145)</f>
        <v>100</v>
      </c>
      <c r="T146" s="288">
        <f>SUM(T145)</f>
        <v>100</v>
      </c>
      <c r="U146" s="571"/>
      <c r="AE146" s="1004"/>
    </row>
    <row r="147" spans="1:34" ht="31.5" customHeight="1" x14ac:dyDescent="0.2">
      <c r="A147" s="1123" t="s">
        <v>17</v>
      </c>
      <c r="B147" s="1125" t="s">
        <v>18</v>
      </c>
      <c r="C147" s="1191" t="s">
        <v>41</v>
      </c>
      <c r="D147" s="1129" t="s">
        <v>731</v>
      </c>
      <c r="E147" s="1131" t="s">
        <v>732</v>
      </c>
      <c r="F147" s="1192" t="s">
        <v>733</v>
      </c>
      <c r="G147" s="976" t="s">
        <v>413</v>
      </c>
      <c r="H147" s="971">
        <f>SUM(H151+H155+H159+H163+H167+H171+H175+H179+H183)</f>
        <v>147.90000000000003</v>
      </c>
      <c r="I147" s="972">
        <f t="shared" ref="I147:Q147" si="51">SUM(I151+I155+I159+I163+I167+I171+I175+I179+I183)</f>
        <v>147.90000000000003</v>
      </c>
      <c r="J147" s="700">
        <f t="shared" si="51"/>
        <v>96.1</v>
      </c>
      <c r="K147" s="390">
        <f t="shared" si="51"/>
        <v>0</v>
      </c>
      <c r="L147" s="971">
        <f t="shared" si="51"/>
        <v>147.90000000000003</v>
      </c>
      <c r="M147" s="972">
        <f t="shared" si="51"/>
        <v>147.90000000000003</v>
      </c>
      <c r="N147" s="700">
        <f t="shared" si="51"/>
        <v>96.1</v>
      </c>
      <c r="O147" s="390">
        <f t="shared" si="51"/>
        <v>0</v>
      </c>
      <c r="P147" s="307">
        <f t="shared" si="51"/>
        <v>193.79999999999995</v>
      </c>
      <c r="Q147" s="307">
        <f t="shared" si="51"/>
        <v>199.50000000000003</v>
      </c>
      <c r="R147" s="1180" t="s">
        <v>445</v>
      </c>
      <c r="S147" s="1166">
        <v>100</v>
      </c>
      <c r="T147" s="1166">
        <v>100</v>
      </c>
      <c r="U147" s="1188"/>
      <c r="V147" s="1068" t="s">
        <v>413</v>
      </c>
      <c r="W147" s="231">
        <f t="shared" ref="W147:Z150" si="52">H151+H155+H159+H163+H167+H171+H175+H179+H183</f>
        <v>147.90000000000003</v>
      </c>
      <c r="X147" s="231">
        <f t="shared" si="52"/>
        <v>147.90000000000003</v>
      </c>
      <c r="Y147" s="231">
        <f t="shared" si="52"/>
        <v>96.1</v>
      </c>
      <c r="Z147" s="231">
        <f t="shared" si="52"/>
        <v>0</v>
      </c>
      <c r="AB147" s="231">
        <f t="shared" ref="AB147:AC150" si="53">P151+P155+P159+P163+P167+P171+P175+P179+P183</f>
        <v>193.79999999999995</v>
      </c>
      <c r="AC147" s="231">
        <f t="shared" si="53"/>
        <v>199.50000000000003</v>
      </c>
      <c r="AE147" s="1004"/>
    </row>
    <row r="148" spans="1:34" ht="31.5" customHeight="1" x14ac:dyDescent="0.2">
      <c r="A148" s="1123"/>
      <c r="B148" s="1125"/>
      <c r="C148" s="1191"/>
      <c r="D148" s="1129"/>
      <c r="E148" s="1131"/>
      <c r="F148" s="1192"/>
      <c r="G148" s="976" t="s">
        <v>224</v>
      </c>
      <c r="H148" s="971">
        <f t="shared" ref="H148:Q149" si="54">SUM(H152+H156+H160+H164+H168+H172+H176+H180+H184)</f>
        <v>11.6</v>
      </c>
      <c r="I148" s="972">
        <f t="shared" si="54"/>
        <v>11.6</v>
      </c>
      <c r="J148" s="700">
        <f t="shared" si="54"/>
        <v>8.9</v>
      </c>
      <c r="K148" s="390">
        <f t="shared" si="54"/>
        <v>0</v>
      </c>
      <c r="L148" s="971">
        <v>11.3</v>
      </c>
      <c r="M148" s="972">
        <v>11.3</v>
      </c>
      <c r="N148" s="700">
        <f t="shared" si="54"/>
        <v>8.9</v>
      </c>
      <c r="O148" s="390">
        <f t="shared" si="54"/>
        <v>0</v>
      </c>
      <c r="P148" s="307">
        <f t="shared" si="54"/>
        <v>26.1</v>
      </c>
      <c r="Q148" s="307">
        <f t="shared" si="54"/>
        <v>28.3</v>
      </c>
      <c r="R148" s="1180"/>
      <c r="S148" s="1187"/>
      <c r="T148" s="1187"/>
      <c r="U148" s="1189"/>
      <c r="V148" s="1068" t="s">
        <v>224</v>
      </c>
      <c r="W148" s="231">
        <f t="shared" si="52"/>
        <v>11.6</v>
      </c>
      <c r="X148" s="231">
        <f t="shared" si="52"/>
        <v>11.6</v>
      </c>
      <c r="Y148" s="231">
        <f t="shared" si="52"/>
        <v>8.9</v>
      </c>
      <c r="Z148" s="231">
        <f t="shared" si="52"/>
        <v>0</v>
      </c>
      <c r="AB148" s="231">
        <f t="shared" si="53"/>
        <v>26.1</v>
      </c>
      <c r="AC148" s="231">
        <f t="shared" si="53"/>
        <v>28.3</v>
      </c>
      <c r="AE148" s="1004"/>
    </row>
    <row r="149" spans="1:34" ht="31.5" customHeight="1" x14ac:dyDescent="0.2">
      <c r="A149" s="1123"/>
      <c r="B149" s="1125"/>
      <c r="C149" s="1191"/>
      <c r="D149" s="1129"/>
      <c r="E149" s="1131"/>
      <c r="F149" s="1192"/>
      <c r="G149" s="976" t="s">
        <v>73</v>
      </c>
      <c r="H149" s="971">
        <f t="shared" si="54"/>
        <v>2.9</v>
      </c>
      <c r="I149" s="972">
        <f t="shared" si="54"/>
        <v>2.9</v>
      </c>
      <c r="J149" s="700">
        <f t="shared" si="54"/>
        <v>1.6</v>
      </c>
      <c r="K149" s="390">
        <f t="shared" si="54"/>
        <v>0</v>
      </c>
      <c r="L149" s="971">
        <f t="shared" si="54"/>
        <v>2.9</v>
      </c>
      <c r="M149" s="972">
        <f t="shared" si="54"/>
        <v>2.9</v>
      </c>
      <c r="N149" s="700">
        <f t="shared" si="54"/>
        <v>1.6</v>
      </c>
      <c r="O149" s="390">
        <f t="shared" si="54"/>
        <v>0</v>
      </c>
      <c r="P149" s="307">
        <f t="shared" si="54"/>
        <v>0</v>
      </c>
      <c r="Q149" s="307">
        <f t="shared" si="54"/>
        <v>0</v>
      </c>
      <c r="R149" s="1180"/>
      <c r="S149" s="1167"/>
      <c r="T149" s="1167"/>
      <c r="U149" s="1190"/>
      <c r="V149" s="1068" t="s">
        <v>226</v>
      </c>
      <c r="W149" s="231">
        <f t="shared" si="52"/>
        <v>2.9</v>
      </c>
      <c r="X149" s="231">
        <f t="shared" si="52"/>
        <v>2.9</v>
      </c>
      <c r="Y149" s="231">
        <f t="shared" si="52"/>
        <v>1.6</v>
      </c>
      <c r="Z149" s="231">
        <f t="shared" si="52"/>
        <v>0</v>
      </c>
      <c r="AB149" s="231">
        <f t="shared" si="53"/>
        <v>0</v>
      </c>
      <c r="AC149" s="231">
        <f t="shared" si="53"/>
        <v>0</v>
      </c>
      <c r="AE149" s="1004"/>
    </row>
    <row r="150" spans="1:34" ht="26.25" customHeight="1" x14ac:dyDescent="0.2">
      <c r="A150" s="1123"/>
      <c r="B150" s="1125"/>
      <c r="C150" s="1191"/>
      <c r="D150" s="1129"/>
      <c r="E150" s="1131"/>
      <c r="F150" s="1192"/>
      <c r="G150" s="1069" t="s">
        <v>13</v>
      </c>
      <c r="H150" s="1015">
        <f>SUM(H147:H149)</f>
        <v>162.40000000000003</v>
      </c>
      <c r="I150" s="1007">
        <f>SUM(I147:I149)</f>
        <v>162.40000000000003</v>
      </c>
      <c r="J150" s="1007">
        <f>SUM(J147:J149)</f>
        <v>106.6</v>
      </c>
      <c r="K150" s="1016">
        <f>SUM(K147:K149)</f>
        <v>0</v>
      </c>
      <c r="L150" s="1015">
        <f t="shared" ref="L150:Q150" si="55">SUM(L147:L149)</f>
        <v>162.10000000000005</v>
      </c>
      <c r="M150" s="1007">
        <f t="shared" si="55"/>
        <v>162.10000000000005</v>
      </c>
      <c r="N150" s="1007">
        <f t="shared" si="55"/>
        <v>106.6</v>
      </c>
      <c r="O150" s="1016">
        <f t="shared" si="55"/>
        <v>0</v>
      </c>
      <c r="P150" s="1070">
        <f t="shared" si="55"/>
        <v>219.89999999999995</v>
      </c>
      <c r="Q150" s="1040">
        <f t="shared" si="55"/>
        <v>227.80000000000004</v>
      </c>
      <c r="R150" s="1181"/>
      <c r="S150" s="287">
        <f>SUM(S147)</f>
        <v>100</v>
      </c>
      <c r="T150" s="288">
        <f>SUM(T147)</f>
        <v>100</v>
      </c>
      <c r="U150" s="571"/>
      <c r="W150" s="231">
        <f t="shared" si="52"/>
        <v>162.39999999999998</v>
      </c>
      <c r="X150" s="231">
        <f t="shared" si="52"/>
        <v>162.39999999999998</v>
      </c>
      <c r="Y150" s="231">
        <f t="shared" si="52"/>
        <v>106.60000000000001</v>
      </c>
      <c r="Z150" s="231">
        <f t="shared" si="52"/>
        <v>0</v>
      </c>
      <c r="AB150" s="231">
        <f t="shared" si="53"/>
        <v>219.89999999999995</v>
      </c>
      <c r="AC150" s="231">
        <f t="shared" si="53"/>
        <v>227.79999999999998</v>
      </c>
      <c r="AE150" s="1004"/>
      <c r="AF150" s="1063">
        <f>L155+L159+L163+L167+L175+L179+L183</f>
        <v>44.099999999999994</v>
      </c>
      <c r="AG150" s="231">
        <f>M155+M159+M163+M167+M175+M179+M183</f>
        <v>44.099999999999994</v>
      </c>
      <c r="AH150" s="231">
        <f>N155+N159+N163+N167+N175+N179+N183</f>
        <v>29.400000000000002</v>
      </c>
    </row>
    <row r="151" spans="1:34" ht="31.5" customHeight="1" outlineLevel="1" x14ac:dyDescent="0.2">
      <c r="A151" s="1123" t="s">
        <v>17</v>
      </c>
      <c r="B151" s="1125" t="s">
        <v>18</v>
      </c>
      <c r="C151" s="1127" t="s">
        <v>432</v>
      </c>
      <c r="D151" s="1129" t="s">
        <v>731</v>
      </c>
      <c r="E151" s="1184" t="s">
        <v>732</v>
      </c>
      <c r="F151" s="1186">
        <v>1</v>
      </c>
      <c r="G151" s="976" t="s">
        <v>413</v>
      </c>
      <c r="H151" s="307">
        <v>103.8</v>
      </c>
      <c r="I151" s="972">
        <v>103.8</v>
      </c>
      <c r="J151" s="972">
        <v>66.7</v>
      </c>
      <c r="K151" s="970"/>
      <c r="L151" s="307">
        <v>103.8</v>
      </c>
      <c r="M151" s="972">
        <v>103.8</v>
      </c>
      <c r="N151" s="972">
        <v>66.7</v>
      </c>
      <c r="O151" s="970"/>
      <c r="P151" s="390">
        <v>148.6</v>
      </c>
      <c r="Q151" s="974">
        <v>150.69999999999999</v>
      </c>
      <c r="R151" s="1180" t="s">
        <v>445</v>
      </c>
      <c r="S151" s="1166">
        <v>100</v>
      </c>
      <c r="T151" s="1166">
        <v>100</v>
      </c>
      <c r="U151" s="1168"/>
      <c r="AE151" s="1004"/>
      <c r="AF151" s="1063">
        <f>L147-AF150</f>
        <v>103.80000000000004</v>
      </c>
    </row>
    <row r="152" spans="1:34" ht="31.5" customHeight="1" outlineLevel="1" x14ac:dyDescent="0.2">
      <c r="A152" s="1123"/>
      <c r="B152" s="1125"/>
      <c r="C152" s="1127"/>
      <c r="D152" s="1129"/>
      <c r="E152" s="1184"/>
      <c r="F152" s="1186"/>
      <c r="G152" s="976" t="s">
        <v>224</v>
      </c>
      <c r="H152" s="609"/>
      <c r="I152" s="610"/>
      <c r="J152" s="610"/>
      <c r="K152" s="590"/>
      <c r="L152" s="584"/>
      <c r="M152" s="585"/>
      <c r="N152" s="585"/>
      <c r="O152" s="586"/>
      <c r="P152" s="1030">
        <v>11.8</v>
      </c>
      <c r="Q152" s="612">
        <v>12.8</v>
      </c>
      <c r="R152" s="1180"/>
      <c r="S152" s="1187"/>
      <c r="T152" s="1187"/>
      <c r="U152" s="1260"/>
      <c r="AE152" s="1004"/>
    </row>
    <row r="153" spans="1:34" ht="31.5" customHeight="1" outlineLevel="1" x14ac:dyDescent="0.2">
      <c r="A153" s="1123"/>
      <c r="B153" s="1125"/>
      <c r="C153" s="1127"/>
      <c r="D153" s="1129"/>
      <c r="E153" s="1184"/>
      <c r="F153" s="1186"/>
      <c r="G153" s="976" t="s">
        <v>226</v>
      </c>
      <c r="H153" s="584"/>
      <c r="I153" s="610"/>
      <c r="J153" s="610"/>
      <c r="K153" s="590"/>
      <c r="L153" s="584"/>
      <c r="M153" s="585"/>
      <c r="N153" s="585"/>
      <c r="O153" s="586"/>
      <c r="P153" s="1030"/>
      <c r="Q153" s="612"/>
      <c r="R153" s="1180"/>
      <c r="S153" s="1167"/>
      <c r="T153" s="1167"/>
      <c r="U153" s="1169"/>
      <c r="AE153" s="1004"/>
    </row>
    <row r="154" spans="1:34" ht="26.25" customHeight="1" outlineLevel="1" x14ac:dyDescent="0.2">
      <c r="A154" s="1123"/>
      <c r="B154" s="1125"/>
      <c r="C154" s="1127"/>
      <c r="D154" s="1129"/>
      <c r="E154" s="1184"/>
      <c r="F154" s="1186"/>
      <c r="G154" s="580" t="s">
        <v>13</v>
      </c>
      <c r="H154" s="581">
        <f>SUM(H151:H153)</f>
        <v>103.8</v>
      </c>
      <c r="I154" s="282">
        <f>SUM(I151:I153)</f>
        <v>103.8</v>
      </c>
      <c r="J154" s="282">
        <f>SUM(J151:J153)</f>
        <v>66.7</v>
      </c>
      <c r="K154" s="582">
        <f>SUM(K151:K153)</f>
        <v>0</v>
      </c>
      <c r="L154" s="1015">
        <f t="shared" ref="L154:Q154" si="56">SUM(L151:L153)</f>
        <v>103.8</v>
      </c>
      <c r="M154" s="1007">
        <f t="shared" si="56"/>
        <v>103.8</v>
      </c>
      <c r="N154" s="1007">
        <f t="shared" si="56"/>
        <v>66.7</v>
      </c>
      <c r="O154" s="1016">
        <f t="shared" si="56"/>
        <v>0</v>
      </c>
      <c r="P154" s="1054">
        <f t="shared" si="56"/>
        <v>160.4</v>
      </c>
      <c r="Q154" s="583">
        <f t="shared" si="56"/>
        <v>163.5</v>
      </c>
      <c r="R154" s="1181"/>
      <c r="S154" s="287">
        <f>SUM(S151)</f>
        <v>100</v>
      </c>
      <c r="T154" s="288">
        <f>SUM(T151)</f>
        <v>100</v>
      </c>
      <c r="U154" s="571"/>
      <c r="AE154" s="1004"/>
    </row>
    <row r="155" spans="1:34" ht="31.5" customHeight="1" outlineLevel="1" x14ac:dyDescent="0.2">
      <c r="A155" s="1123" t="s">
        <v>17</v>
      </c>
      <c r="B155" s="1125" t="s">
        <v>18</v>
      </c>
      <c r="C155" s="1127" t="s">
        <v>433</v>
      </c>
      <c r="D155" s="1129" t="s">
        <v>731</v>
      </c>
      <c r="E155" s="1184" t="s">
        <v>732</v>
      </c>
      <c r="F155" s="1186">
        <v>14</v>
      </c>
      <c r="G155" s="976" t="s">
        <v>413</v>
      </c>
      <c r="H155" s="971">
        <v>6.3</v>
      </c>
      <c r="I155" s="972">
        <v>6.3</v>
      </c>
      <c r="J155" s="972">
        <v>4.3</v>
      </c>
      <c r="K155" s="970"/>
      <c r="L155" s="971">
        <v>6.3</v>
      </c>
      <c r="M155" s="972">
        <v>6.3</v>
      </c>
      <c r="N155" s="972">
        <v>4.3</v>
      </c>
      <c r="O155" s="970"/>
      <c r="P155" s="390">
        <v>6.6</v>
      </c>
      <c r="Q155" s="974">
        <v>7.3</v>
      </c>
      <c r="R155" s="1180" t="s">
        <v>445</v>
      </c>
      <c r="S155" s="1166">
        <v>100</v>
      </c>
      <c r="T155" s="1166">
        <v>100</v>
      </c>
      <c r="U155" s="1168"/>
      <c r="AE155" s="1004"/>
    </row>
    <row r="156" spans="1:34" ht="31.5" customHeight="1" outlineLevel="1" x14ac:dyDescent="0.2">
      <c r="A156" s="1123"/>
      <c r="B156" s="1125"/>
      <c r="C156" s="1127"/>
      <c r="D156" s="1129"/>
      <c r="E156" s="1184"/>
      <c r="F156" s="1186"/>
      <c r="G156" s="976" t="s">
        <v>224</v>
      </c>
      <c r="H156" s="609">
        <v>1.7</v>
      </c>
      <c r="I156" s="610">
        <v>1.7</v>
      </c>
      <c r="J156" s="610">
        <v>1.3</v>
      </c>
      <c r="K156" s="590"/>
      <c r="L156" s="584">
        <v>1.7</v>
      </c>
      <c r="M156" s="585">
        <v>1.7</v>
      </c>
      <c r="N156" s="585">
        <v>1.3</v>
      </c>
      <c r="O156" s="586"/>
      <c r="P156" s="1030">
        <v>2</v>
      </c>
      <c r="Q156" s="612">
        <v>2.2000000000000002</v>
      </c>
      <c r="R156" s="1180"/>
      <c r="S156" s="1187"/>
      <c r="T156" s="1187"/>
      <c r="U156" s="1260"/>
      <c r="AE156" s="1004"/>
    </row>
    <row r="157" spans="1:34" ht="31.5" customHeight="1" outlineLevel="1" x14ac:dyDescent="0.2">
      <c r="A157" s="1123"/>
      <c r="B157" s="1125"/>
      <c r="C157" s="1127"/>
      <c r="D157" s="1129"/>
      <c r="E157" s="1184"/>
      <c r="F157" s="1186"/>
      <c r="G157" s="976" t="s">
        <v>73</v>
      </c>
      <c r="H157" s="584">
        <v>0.4</v>
      </c>
      <c r="I157" s="610">
        <v>0.4</v>
      </c>
      <c r="J157" s="610">
        <v>0.3</v>
      </c>
      <c r="K157" s="590"/>
      <c r="L157" s="584">
        <v>0.4</v>
      </c>
      <c r="M157" s="585">
        <v>0.4</v>
      </c>
      <c r="N157" s="585">
        <v>0.3</v>
      </c>
      <c r="O157" s="586"/>
      <c r="P157" s="1030">
        <v>0</v>
      </c>
      <c r="Q157" s="612">
        <v>0</v>
      </c>
      <c r="R157" s="1180"/>
      <c r="S157" s="1167"/>
      <c r="T157" s="1167"/>
      <c r="U157" s="1169"/>
      <c r="AE157" s="1004"/>
    </row>
    <row r="158" spans="1:34" ht="26.25" customHeight="1" outlineLevel="1" x14ac:dyDescent="0.2">
      <c r="A158" s="1123"/>
      <c r="B158" s="1125"/>
      <c r="C158" s="1127"/>
      <c r="D158" s="1129"/>
      <c r="E158" s="1184"/>
      <c r="F158" s="1186"/>
      <c r="G158" s="580" t="s">
        <v>13</v>
      </c>
      <c r="H158" s="581">
        <f>SUM(H155:H157)</f>
        <v>8.4</v>
      </c>
      <c r="I158" s="282">
        <f>SUM(I155:I157)</f>
        <v>8.4</v>
      </c>
      <c r="J158" s="282">
        <f>SUM(J155:J157)</f>
        <v>5.8999999999999995</v>
      </c>
      <c r="K158" s="582">
        <f>SUM(K155:K157)</f>
        <v>0</v>
      </c>
      <c r="L158" s="1015">
        <f t="shared" ref="L158:Q158" si="57">SUM(L155:L157)</f>
        <v>8.4</v>
      </c>
      <c r="M158" s="1007">
        <f t="shared" si="57"/>
        <v>8.4</v>
      </c>
      <c r="N158" s="1007">
        <f t="shared" si="57"/>
        <v>5.8999999999999995</v>
      </c>
      <c r="O158" s="1016">
        <f t="shared" si="57"/>
        <v>0</v>
      </c>
      <c r="P158" s="1054">
        <f t="shared" si="57"/>
        <v>8.6</v>
      </c>
      <c r="Q158" s="583">
        <f t="shared" si="57"/>
        <v>9.5</v>
      </c>
      <c r="R158" s="1181"/>
      <c r="S158" s="287">
        <f>SUM(S155)</f>
        <v>100</v>
      </c>
      <c r="T158" s="288">
        <f>SUM(T155)</f>
        <v>100</v>
      </c>
      <c r="U158" s="571"/>
      <c r="AE158" s="1004"/>
    </row>
    <row r="159" spans="1:34" ht="31.5" customHeight="1" outlineLevel="1" x14ac:dyDescent="0.2">
      <c r="A159" s="1123" t="s">
        <v>17</v>
      </c>
      <c r="B159" s="1125" t="s">
        <v>18</v>
      </c>
      <c r="C159" s="1127" t="s">
        <v>434</v>
      </c>
      <c r="D159" s="1129" t="s">
        <v>731</v>
      </c>
      <c r="E159" s="1184" t="s">
        <v>732</v>
      </c>
      <c r="F159" s="1186">
        <v>15</v>
      </c>
      <c r="G159" s="976" t="s">
        <v>413</v>
      </c>
      <c r="H159" s="971">
        <v>6.3</v>
      </c>
      <c r="I159" s="972">
        <v>6.3</v>
      </c>
      <c r="J159" s="972">
        <v>4.3</v>
      </c>
      <c r="K159" s="970"/>
      <c r="L159" s="971">
        <v>6.3</v>
      </c>
      <c r="M159" s="972">
        <v>6.3</v>
      </c>
      <c r="N159" s="972">
        <v>4.3</v>
      </c>
      <c r="O159" s="970"/>
      <c r="P159" s="390">
        <v>6.6</v>
      </c>
      <c r="Q159" s="974">
        <v>7</v>
      </c>
      <c r="R159" s="1180" t="s">
        <v>445</v>
      </c>
      <c r="S159" s="1166">
        <v>100</v>
      </c>
      <c r="T159" s="1166">
        <v>100</v>
      </c>
      <c r="U159" s="1168"/>
      <c r="AE159" s="1004"/>
    </row>
    <row r="160" spans="1:34" ht="31.5" customHeight="1" outlineLevel="1" x14ac:dyDescent="0.2">
      <c r="A160" s="1123"/>
      <c r="B160" s="1125"/>
      <c r="C160" s="1127"/>
      <c r="D160" s="1129"/>
      <c r="E160" s="1184"/>
      <c r="F160" s="1186"/>
      <c r="G160" s="976" t="s">
        <v>224</v>
      </c>
      <c r="H160" s="609">
        <v>1.8</v>
      </c>
      <c r="I160" s="610">
        <v>1.8</v>
      </c>
      <c r="J160" s="610">
        <v>1.4</v>
      </c>
      <c r="K160" s="590"/>
      <c r="L160" s="584">
        <v>1.8</v>
      </c>
      <c r="M160" s="585">
        <v>1.8</v>
      </c>
      <c r="N160" s="585">
        <v>1.4</v>
      </c>
      <c r="O160" s="586"/>
      <c r="P160" s="1030">
        <v>2.1</v>
      </c>
      <c r="Q160" s="612">
        <v>2.1</v>
      </c>
      <c r="R160" s="1180"/>
      <c r="S160" s="1187"/>
      <c r="T160" s="1187"/>
      <c r="U160" s="1260"/>
      <c r="AE160" s="1004"/>
    </row>
    <row r="161" spans="1:31" ht="31.5" customHeight="1" outlineLevel="1" x14ac:dyDescent="0.2">
      <c r="A161" s="1123"/>
      <c r="B161" s="1125"/>
      <c r="C161" s="1127"/>
      <c r="D161" s="1129"/>
      <c r="E161" s="1184"/>
      <c r="F161" s="1186"/>
      <c r="G161" s="976" t="s">
        <v>73</v>
      </c>
      <c r="H161" s="584">
        <v>0.3</v>
      </c>
      <c r="I161" s="610">
        <v>0.3</v>
      </c>
      <c r="J161" s="610">
        <v>0.2</v>
      </c>
      <c r="K161" s="590"/>
      <c r="L161" s="584">
        <v>0.3</v>
      </c>
      <c r="M161" s="585">
        <v>0.3</v>
      </c>
      <c r="N161" s="585">
        <v>0.2</v>
      </c>
      <c r="O161" s="586"/>
      <c r="P161" s="1030"/>
      <c r="Q161" s="612"/>
      <c r="R161" s="1180"/>
      <c r="S161" s="1167"/>
      <c r="T161" s="1167"/>
      <c r="U161" s="1169"/>
      <c r="AE161" s="1004"/>
    </row>
    <row r="162" spans="1:31" ht="26.25" customHeight="1" outlineLevel="1" x14ac:dyDescent="0.2">
      <c r="A162" s="1123"/>
      <c r="B162" s="1125"/>
      <c r="C162" s="1127"/>
      <c r="D162" s="1129"/>
      <c r="E162" s="1184"/>
      <c r="F162" s="1186"/>
      <c r="G162" s="580" t="s">
        <v>13</v>
      </c>
      <c r="H162" s="581">
        <f>SUM(H159:H161)</f>
        <v>8.4</v>
      </c>
      <c r="I162" s="282">
        <f>SUM(I159:I161)</f>
        <v>8.4</v>
      </c>
      <c r="J162" s="282">
        <f>SUM(J159:J161)</f>
        <v>5.8999999999999995</v>
      </c>
      <c r="K162" s="582">
        <f>SUM(K159:K161)</f>
        <v>0</v>
      </c>
      <c r="L162" s="1015">
        <f t="shared" ref="L162:Q162" si="58">SUM(L159:L161)</f>
        <v>8.4</v>
      </c>
      <c r="M162" s="1007">
        <f t="shared" si="58"/>
        <v>8.4</v>
      </c>
      <c r="N162" s="1007">
        <f t="shared" si="58"/>
        <v>5.8999999999999995</v>
      </c>
      <c r="O162" s="1016">
        <f t="shared" si="58"/>
        <v>0</v>
      </c>
      <c r="P162" s="1054">
        <f t="shared" si="58"/>
        <v>8.6999999999999993</v>
      </c>
      <c r="Q162" s="583">
        <f t="shared" si="58"/>
        <v>9.1</v>
      </c>
      <c r="R162" s="1181"/>
      <c r="S162" s="287">
        <f>SUM(S159)</f>
        <v>100</v>
      </c>
      <c r="T162" s="288">
        <f>SUM(T159)</f>
        <v>100</v>
      </c>
      <c r="U162" s="571"/>
      <c r="AE162" s="1004"/>
    </row>
    <row r="163" spans="1:31" ht="31.5" customHeight="1" outlineLevel="1" x14ac:dyDescent="0.2">
      <c r="A163" s="1123" t="s">
        <v>17</v>
      </c>
      <c r="B163" s="1125" t="s">
        <v>18</v>
      </c>
      <c r="C163" s="1127" t="s">
        <v>435</v>
      </c>
      <c r="D163" s="1129" t="s">
        <v>731</v>
      </c>
      <c r="E163" s="1184" t="s">
        <v>732</v>
      </c>
      <c r="F163" s="1186">
        <v>16</v>
      </c>
      <c r="G163" s="976" t="s">
        <v>413</v>
      </c>
      <c r="H163" s="971">
        <v>6.3</v>
      </c>
      <c r="I163" s="972">
        <v>6.3</v>
      </c>
      <c r="J163" s="972">
        <v>3.7</v>
      </c>
      <c r="K163" s="970"/>
      <c r="L163" s="971">
        <v>6.3</v>
      </c>
      <c r="M163" s="972">
        <v>6.3</v>
      </c>
      <c r="N163" s="972">
        <v>3.7</v>
      </c>
      <c r="O163" s="970"/>
      <c r="P163" s="390">
        <v>6.6</v>
      </c>
      <c r="Q163" s="974">
        <v>7.3</v>
      </c>
      <c r="R163" s="1180" t="s">
        <v>445</v>
      </c>
      <c r="S163" s="946">
        <v>100</v>
      </c>
      <c r="T163" s="946">
        <v>100</v>
      </c>
      <c r="U163" s="1022"/>
      <c r="AE163" s="1004"/>
    </row>
    <row r="164" spans="1:31" ht="31.5" customHeight="1" outlineLevel="1" x14ac:dyDescent="0.2">
      <c r="A164" s="1123"/>
      <c r="B164" s="1125"/>
      <c r="C164" s="1127"/>
      <c r="D164" s="1129"/>
      <c r="E164" s="1184"/>
      <c r="F164" s="1186"/>
      <c r="G164" s="976" t="s">
        <v>224</v>
      </c>
      <c r="H164" s="609">
        <v>1.3</v>
      </c>
      <c r="I164" s="610">
        <v>1.3</v>
      </c>
      <c r="J164" s="610">
        <v>1</v>
      </c>
      <c r="K164" s="590"/>
      <c r="L164" s="584">
        <v>1.3</v>
      </c>
      <c r="M164" s="585">
        <v>1.3</v>
      </c>
      <c r="N164" s="585">
        <v>1</v>
      </c>
      <c r="O164" s="586"/>
      <c r="P164" s="1030">
        <v>2</v>
      </c>
      <c r="Q164" s="612">
        <v>2.2000000000000002</v>
      </c>
      <c r="R164" s="1180"/>
      <c r="S164" s="946">
        <v>100</v>
      </c>
      <c r="T164" s="946">
        <v>100</v>
      </c>
      <c r="U164" s="1027"/>
      <c r="AE164" s="1004"/>
    </row>
    <row r="165" spans="1:31" ht="31.5" customHeight="1" outlineLevel="1" x14ac:dyDescent="0.2">
      <c r="A165" s="1123"/>
      <c r="B165" s="1125"/>
      <c r="C165" s="1127"/>
      <c r="D165" s="1129"/>
      <c r="E165" s="1184"/>
      <c r="F165" s="1186"/>
      <c r="G165" s="976" t="s">
        <v>73</v>
      </c>
      <c r="H165" s="584">
        <v>0.2</v>
      </c>
      <c r="I165" s="610">
        <v>0.2</v>
      </c>
      <c r="J165" s="610">
        <v>0.1</v>
      </c>
      <c r="K165" s="590"/>
      <c r="L165" s="584">
        <v>0.2</v>
      </c>
      <c r="M165" s="585">
        <v>0.2</v>
      </c>
      <c r="N165" s="585">
        <v>0.1</v>
      </c>
      <c r="O165" s="586"/>
      <c r="P165" s="1030"/>
      <c r="Q165" s="612"/>
      <c r="R165" s="1180"/>
      <c r="S165" s="946">
        <v>100</v>
      </c>
      <c r="T165" s="946">
        <v>100</v>
      </c>
      <c r="U165" s="1027"/>
      <c r="AE165" s="1004"/>
    </row>
    <row r="166" spans="1:31" ht="26.25" customHeight="1" outlineLevel="1" x14ac:dyDescent="0.2">
      <c r="A166" s="1123"/>
      <c r="B166" s="1125"/>
      <c r="C166" s="1127"/>
      <c r="D166" s="1129"/>
      <c r="E166" s="1184"/>
      <c r="F166" s="1186"/>
      <c r="G166" s="580" t="s">
        <v>13</v>
      </c>
      <c r="H166" s="581">
        <f>SUM(H163:H165)</f>
        <v>7.8</v>
      </c>
      <c r="I166" s="282">
        <f>SUM(I163:I165)</f>
        <v>7.8</v>
      </c>
      <c r="J166" s="282">
        <f>SUM(J163:J165)</f>
        <v>4.8</v>
      </c>
      <c r="K166" s="582">
        <f>SUM(K163:K165)</f>
        <v>0</v>
      </c>
      <c r="L166" s="1015">
        <f t="shared" ref="L166:Q166" si="59">SUM(L163:L165)</f>
        <v>7.8</v>
      </c>
      <c r="M166" s="1007">
        <f t="shared" si="59"/>
        <v>7.8</v>
      </c>
      <c r="N166" s="1007">
        <f t="shared" si="59"/>
        <v>4.8</v>
      </c>
      <c r="O166" s="1016">
        <f t="shared" si="59"/>
        <v>0</v>
      </c>
      <c r="P166" s="1054">
        <f t="shared" si="59"/>
        <v>8.6</v>
      </c>
      <c r="Q166" s="583">
        <f t="shared" si="59"/>
        <v>9.5</v>
      </c>
      <c r="R166" s="1181"/>
      <c r="S166" s="287">
        <f>SUM(S163)</f>
        <v>100</v>
      </c>
      <c r="T166" s="288">
        <f>SUM(T163)</f>
        <v>100</v>
      </c>
      <c r="U166" s="571">
        <f>SUM(U163)</f>
        <v>0</v>
      </c>
      <c r="AE166" s="1004"/>
    </row>
    <row r="167" spans="1:31" ht="31.5" customHeight="1" outlineLevel="1" x14ac:dyDescent="0.2">
      <c r="A167" s="1123" t="s">
        <v>17</v>
      </c>
      <c r="B167" s="1125" t="s">
        <v>18</v>
      </c>
      <c r="C167" s="1127" t="s">
        <v>436</v>
      </c>
      <c r="D167" s="1129" t="s">
        <v>731</v>
      </c>
      <c r="E167" s="1184" t="s">
        <v>732</v>
      </c>
      <c r="F167" s="1186">
        <v>17</v>
      </c>
      <c r="G167" s="976" t="s">
        <v>413</v>
      </c>
      <c r="H167" s="971">
        <v>6.3</v>
      </c>
      <c r="I167" s="972">
        <v>6.3</v>
      </c>
      <c r="J167" s="972">
        <v>4.3</v>
      </c>
      <c r="K167" s="970"/>
      <c r="L167" s="971">
        <v>6.3</v>
      </c>
      <c r="M167" s="972">
        <v>6.3</v>
      </c>
      <c r="N167" s="972">
        <v>4.3</v>
      </c>
      <c r="O167" s="970"/>
      <c r="P167" s="390">
        <v>6.1</v>
      </c>
      <c r="Q167" s="974">
        <v>6.1</v>
      </c>
      <c r="R167" s="1180" t="s">
        <v>445</v>
      </c>
      <c r="S167" s="1166">
        <v>100</v>
      </c>
      <c r="T167" s="1166">
        <v>100</v>
      </c>
      <c r="U167" s="1168"/>
      <c r="AE167" s="1004"/>
    </row>
    <row r="168" spans="1:31" ht="31.5" customHeight="1" outlineLevel="1" x14ac:dyDescent="0.2">
      <c r="A168" s="1123"/>
      <c r="B168" s="1125"/>
      <c r="C168" s="1127"/>
      <c r="D168" s="1129"/>
      <c r="E168" s="1184"/>
      <c r="F168" s="1186"/>
      <c r="G168" s="976" t="s">
        <v>224</v>
      </c>
      <c r="H168" s="609">
        <v>1.8</v>
      </c>
      <c r="I168" s="610">
        <v>1.8</v>
      </c>
      <c r="J168" s="610">
        <v>1.4</v>
      </c>
      <c r="K168" s="590"/>
      <c r="L168" s="584">
        <v>1.8</v>
      </c>
      <c r="M168" s="585">
        <v>1.8</v>
      </c>
      <c r="N168" s="585">
        <v>1.4</v>
      </c>
      <c r="O168" s="586"/>
      <c r="P168" s="1030">
        <v>2.1</v>
      </c>
      <c r="Q168" s="612">
        <v>2.2000000000000002</v>
      </c>
      <c r="R168" s="1180"/>
      <c r="S168" s="1187"/>
      <c r="T168" s="1187"/>
      <c r="U168" s="1260"/>
      <c r="AE168" s="1004"/>
    </row>
    <row r="169" spans="1:31" ht="31.5" customHeight="1" outlineLevel="1" x14ac:dyDescent="0.2">
      <c r="A169" s="1123"/>
      <c r="B169" s="1125"/>
      <c r="C169" s="1127"/>
      <c r="D169" s="1129"/>
      <c r="E169" s="1184"/>
      <c r="F169" s="1186"/>
      <c r="G169" s="976" t="s">
        <v>73</v>
      </c>
      <c r="H169" s="584">
        <v>0.6</v>
      </c>
      <c r="I169" s="610">
        <v>0.6</v>
      </c>
      <c r="J169" s="610">
        <v>0.2</v>
      </c>
      <c r="K169" s="590"/>
      <c r="L169" s="584">
        <v>0.6</v>
      </c>
      <c r="M169" s="585">
        <v>0.6</v>
      </c>
      <c r="N169" s="585">
        <v>0.2</v>
      </c>
      <c r="O169" s="586"/>
      <c r="P169" s="1030"/>
      <c r="Q169" s="612"/>
      <c r="R169" s="1180"/>
      <c r="S169" s="1167"/>
      <c r="T169" s="1167"/>
      <c r="U169" s="1169"/>
      <c r="AE169" s="1004"/>
    </row>
    <row r="170" spans="1:31" ht="26.25" customHeight="1" outlineLevel="1" x14ac:dyDescent="0.2">
      <c r="A170" s="1123"/>
      <c r="B170" s="1125"/>
      <c r="C170" s="1127"/>
      <c r="D170" s="1129"/>
      <c r="E170" s="1184"/>
      <c r="F170" s="1186"/>
      <c r="G170" s="580" t="s">
        <v>13</v>
      </c>
      <c r="H170" s="581">
        <f>SUM(H167:H169)</f>
        <v>8.6999999999999993</v>
      </c>
      <c r="I170" s="282">
        <f>SUM(I167:I169)</f>
        <v>8.6999999999999993</v>
      </c>
      <c r="J170" s="282">
        <f>SUM(J167:J169)</f>
        <v>5.8999999999999995</v>
      </c>
      <c r="K170" s="582">
        <f>SUM(K167:K169)</f>
        <v>0</v>
      </c>
      <c r="L170" s="1015">
        <f t="shared" ref="L170:Q170" si="60">SUM(L167:L169)</f>
        <v>8.6999999999999993</v>
      </c>
      <c r="M170" s="1007">
        <f t="shared" si="60"/>
        <v>8.6999999999999993</v>
      </c>
      <c r="N170" s="1007">
        <f t="shared" si="60"/>
        <v>5.8999999999999995</v>
      </c>
      <c r="O170" s="1016">
        <f t="shared" si="60"/>
        <v>0</v>
      </c>
      <c r="P170" s="1054">
        <f t="shared" si="60"/>
        <v>8.1999999999999993</v>
      </c>
      <c r="Q170" s="583">
        <f t="shared" si="60"/>
        <v>8.3000000000000007</v>
      </c>
      <c r="R170" s="1181"/>
      <c r="S170" s="287">
        <f>SUM(S167)</f>
        <v>100</v>
      </c>
      <c r="T170" s="288">
        <f>SUM(T167)</f>
        <v>100</v>
      </c>
      <c r="U170" s="571"/>
      <c r="AE170" s="1004"/>
    </row>
    <row r="171" spans="1:31" ht="31.5" customHeight="1" outlineLevel="1" x14ac:dyDescent="0.2">
      <c r="A171" s="1123" t="s">
        <v>17</v>
      </c>
      <c r="B171" s="1125" t="s">
        <v>18</v>
      </c>
      <c r="C171" s="1127" t="s">
        <v>437</v>
      </c>
      <c r="D171" s="1129" t="s">
        <v>731</v>
      </c>
      <c r="E171" s="1184" t="s">
        <v>732</v>
      </c>
      <c r="F171" s="1186">
        <v>18</v>
      </c>
      <c r="G171" s="976" t="s">
        <v>413</v>
      </c>
      <c r="H171" s="971"/>
      <c r="I171" s="972"/>
      <c r="J171" s="972"/>
      <c r="K171" s="970"/>
      <c r="L171" s="971"/>
      <c r="M171" s="972"/>
      <c r="N171" s="972"/>
      <c r="O171" s="970"/>
      <c r="P171" s="390"/>
      <c r="Q171" s="974"/>
      <c r="R171" s="1180" t="s">
        <v>445</v>
      </c>
      <c r="S171" s="1168">
        <v>100</v>
      </c>
      <c r="T171" s="1168">
        <v>100</v>
      </c>
      <c r="U171" s="1168"/>
      <c r="AE171" s="1004"/>
    </row>
    <row r="172" spans="1:31" ht="31.5" customHeight="1" outlineLevel="1" x14ac:dyDescent="0.2">
      <c r="A172" s="1123"/>
      <c r="B172" s="1125"/>
      <c r="C172" s="1127"/>
      <c r="D172" s="1129"/>
      <c r="E172" s="1184"/>
      <c r="F172" s="1186"/>
      <c r="G172" s="976" t="s">
        <v>224</v>
      </c>
      <c r="H172" s="609"/>
      <c r="I172" s="610"/>
      <c r="J172" s="610"/>
      <c r="K172" s="590"/>
      <c r="L172" s="584"/>
      <c r="M172" s="585"/>
      <c r="N172" s="585"/>
      <c r="O172" s="586"/>
      <c r="P172" s="1030"/>
      <c r="Q172" s="612"/>
      <c r="R172" s="1180"/>
      <c r="S172" s="1260"/>
      <c r="T172" s="1260"/>
      <c r="U172" s="1260"/>
      <c r="AE172" s="1004"/>
    </row>
    <row r="173" spans="1:31" ht="31.5" customHeight="1" outlineLevel="1" x14ac:dyDescent="0.2">
      <c r="A173" s="1123"/>
      <c r="B173" s="1125"/>
      <c r="C173" s="1127"/>
      <c r="D173" s="1129"/>
      <c r="E173" s="1184"/>
      <c r="F173" s="1186"/>
      <c r="G173" s="976" t="s">
        <v>73</v>
      </c>
      <c r="H173" s="584">
        <v>0.2</v>
      </c>
      <c r="I173" s="610">
        <v>0.2</v>
      </c>
      <c r="J173" s="610"/>
      <c r="K173" s="590"/>
      <c r="L173" s="584">
        <v>0.2</v>
      </c>
      <c r="M173" s="585">
        <v>0.2</v>
      </c>
      <c r="N173" s="585"/>
      <c r="O173" s="586"/>
      <c r="P173" s="1030"/>
      <c r="Q173" s="612"/>
      <c r="R173" s="1180"/>
      <c r="S173" s="1169"/>
      <c r="T173" s="1169"/>
      <c r="U173" s="1169"/>
      <c r="AE173" s="1004"/>
    </row>
    <row r="174" spans="1:31" ht="26.25" customHeight="1" outlineLevel="1" x14ac:dyDescent="0.2">
      <c r="A174" s="1123"/>
      <c r="B174" s="1125"/>
      <c r="C174" s="1127"/>
      <c r="D174" s="1129"/>
      <c r="E174" s="1184"/>
      <c r="F174" s="1186"/>
      <c r="G174" s="580" t="s">
        <v>13</v>
      </c>
      <c r="H174" s="581">
        <f>SUM(H171:H173)</f>
        <v>0.2</v>
      </c>
      <c r="I174" s="282">
        <f>SUM(I171:I173)</f>
        <v>0.2</v>
      </c>
      <c r="J174" s="282">
        <f>SUM(J171:J173)</f>
        <v>0</v>
      </c>
      <c r="K174" s="582">
        <f>SUM(K171:K173)</f>
        <v>0</v>
      </c>
      <c r="L174" s="1015">
        <f t="shared" ref="L174:Q174" si="61">SUM(L171:L173)</f>
        <v>0.2</v>
      </c>
      <c r="M174" s="1007">
        <f t="shared" si="61"/>
        <v>0.2</v>
      </c>
      <c r="N174" s="1007">
        <f t="shared" si="61"/>
        <v>0</v>
      </c>
      <c r="O174" s="1016">
        <f t="shared" si="61"/>
        <v>0</v>
      </c>
      <c r="P174" s="1054">
        <f t="shared" si="61"/>
        <v>0</v>
      </c>
      <c r="Q174" s="583">
        <f t="shared" si="61"/>
        <v>0</v>
      </c>
      <c r="R174" s="1181"/>
      <c r="S174" s="287">
        <v>100</v>
      </c>
      <c r="T174" s="288">
        <v>100</v>
      </c>
      <c r="U174" s="571"/>
      <c r="AE174" s="1004"/>
    </row>
    <row r="175" spans="1:31" ht="31.5" customHeight="1" outlineLevel="1" x14ac:dyDescent="0.2">
      <c r="A175" s="1123" t="s">
        <v>17</v>
      </c>
      <c r="B175" s="1125" t="s">
        <v>18</v>
      </c>
      <c r="C175" s="1127" t="s">
        <v>438</v>
      </c>
      <c r="D175" s="1129" t="s">
        <v>731</v>
      </c>
      <c r="E175" s="1184" t="s">
        <v>734</v>
      </c>
      <c r="F175" s="1186">
        <v>19</v>
      </c>
      <c r="G175" s="976" t="s">
        <v>413</v>
      </c>
      <c r="H175" s="971">
        <v>6.3</v>
      </c>
      <c r="I175" s="972">
        <v>6.3</v>
      </c>
      <c r="J175" s="972">
        <v>4.3</v>
      </c>
      <c r="K175" s="970"/>
      <c r="L175" s="971">
        <v>6.3</v>
      </c>
      <c r="M175" s="972">
        <v>6.3</v>
      </c>
      <c r="N175" s="972">
        <v>4.3</v>
      </c>
      <c r="O175" s="970"/>
      <c r="P175" s="390">
        <v>6.1</v>
      </c>
      <c r="Q175" s="974">
        <v>6.3</v>
      </c>
      <c r="R175" s="1180" t="s">
        <v>445</v>
      </c>
      <c r="S175" s="1166">
        <v>100</v>
      </c>
      <c r="T175" s="1166">
        <v>100</v>
      </c>
      <c r="U175" s="1168"/>
      <c r="AE175" s="1004"/>
    </row>
    <row r="176" spans="1:31" ht="31.5" customHeight="1" outlineLevel="1" x14ac:dyDescent="0.2">
      <c r="A176" s="1123"/>
      <c r="B176" s="1125"/>
      <c r="C176" s="1127"/>
      <c r="D176" s="1129"/>
      <c r="E176" s="1184"/>
      <c r="F176" s="1186"/>
      <c r="G176" s="976" t="s">
        <v>224</v>
      </c>
      <c r="H176" s="609">
        <v>1.6</v>
      </c>
      <c r="I176" s="610">
        <v>1.6</v>
      </c>
      <c r="J176" s="610">
        <v>1.2</v>
      </c>
      <c r="K176" s="590"/>
      <c r="L176" s="584">
        <v>1.5</v>
      </c>
      <c r="M176" s="585">
        <v>1.5</v>
      </c>
      <c r="N176" s="585">
        <v>1.2</v>
      </c>
      <c r="O176" s="586"/>
      <c r="P176" s="1030">
        <v>2</v>
      </c>
      <c r="Q176" s="612">
        <v>2.2999999999999998</v>
      </c>
      <c r="R176" s="1180"/>
      <c r="S176" s="1187"/>
      <c r="T176" s="1187"/>
      <c r="U176" s="1260"/>
      <c r="AE176" s="1004"/>
    </row>
    <row r="177" spans="1:31" ht="31.5" customHeight="1" outlineLevel="1" x14ac:dyDescent="0.2">
      <c r="A177" s="1123"/>
      <c r="B177" s="1125"/>
      <c r="C177" s="1127"/>
      <c r="D177" s="1129"/>
      <c r="E177" s="1184"/>
      <c r="F177" s="1186"/>
      <c r="G177" s="976" t="s">
        <v>73</v>
      </c>
      <c r="H177" s="584">
        <v>0.3</v>
      </c>
      <c r="I177" s="610">
        <v>0.3</v>
      </c>
      <c r="J177" s="610">
        <v>0.1</v>
      </c>
      <c r="K177" s="590"/>
      <c r="L177" s="584">
        <v>0.3</v>
      </c>
      <c r="M177" s="585">
        <v>0.3</v>
      </c>
      <c r="N177" s="585">
        <v>0.1</v>
      </c>
      <c r="O177" s="586"/>
      <c r="P177" s="1030"/>
      <c r="Q177" s="612"/>
      <c r="R177" s="1180"/>
      <c r="S177" s="1167"/>
      <c r="T177" s="1167"/>
      <c r="U177" s="1169"/>
      <c r="AE177" s="1004"/>
    </row>
    <row r="178" spans="1:31" ht="26.25" customHeight="1" outlineLevel="1" x14ac:dyDescent="0.2">
      <c r="A178" s="1123"/>
      <c r="B178" s="1125"/>
      <c r="C178" s="1127"/>
      <c r="D178" s="1129"/>
      <c r="E178" s="1184"/>
      <c r="F178" s="1186"/>
      <c r="G178" s="580" t="s">
        <v>13</v>
      </c>
      <c r="H178" s="581">
        <f>SUM(H175:H177)</f>
        <v>8.2000000000000011</v>
      </c>
      <c r="I178" s="282">
        <f>SUM(I175:I177)</f>
        <v>8.2000000000000011</v>
      </c>
      <c r="J178" s="282">
        <f>SUM(J175:J177)</f>
        <v>5.6</v>
      </c>
      <c r="K178" s="582">
        <f>SUM(K175:K177)</f>
        <v>0</v>
      </c>
      <c r="L178" s="1015">
        <f t="shared" ref="L178:Q178" si="62">SUM(L175:L177)</f>
        <v>8.1</v>
      </c>
      <c r="M178" s="1007">
        <f t="shared" si="62"/>
        <v>8.1</v>
      </c>
      <c r="N178" s="1007">
        <f t="shared" si="62"/>
        <v>5.6</v>
      </c>
      <c r="O178" s="1016">
        <f t="shared" si="62"/>
        <v>0</v>
      </c>
      <c r="P178" s="1054">
        <f t="shared" si="62"/>
        <v>8.1</v>
      </c>
      <c r="Q178" s="583">
        <f t="shared" si="62"/>
        <v>8.6</v>
      </c>
      <c r="R178" s="1181"/>
      <c r="S178" s="287">
        <f>SUM(S175)</f>
        <v>100</v>
      </c>
      <c r="T178" s="288">
        <f>SUM(T175)</f>
        <v>100</v>
      </c>
      <c r="U178" s="571"/>
      <c r="AE178" s="1004"/>
    </row>
    <row r="179" spans="1:31" ht="31.5" customHeight="1" outlineLevel="1" x14ac:dyDescent="0.2">
      <c r="A179" s="1123" t="s">
        <v>17</v>
      </c>
      <c r="B179" s="1125" t="s">
        <v>18</v>
      </c>
      <c r="C179" s="1127" t="s">
        <v>439</v>
      </c>
      <c r="D179" s="1129" t="s">
        <v>731</v>
      </c>
      <c r="E179" s="1184" t="s">
        <v>732</v>
      </c>
      <c r="F179" s="1186">
        <v>20</v>
      </c>
      <c r="G179" s="976" t="s">
        <v>413</v>
      </c>
      <c r="H179" s="971">
        <v>6.3</v>
      </c>
      <c r="I179" s="972">
        <v>6.3</v>
      </c>
      <c r="J179" s="972">
        <v>4.2</v>
      </c>
      <c r="K179" s="970"/>
      <c r="L179" s="971">
        <v>6.3</v>
      </c>
      <c r="M179" s="972">
        <v>6.3</v>
      </c>
      <c r="N179" s="972">
        <v>4.2</v>
      </c>
      <c r="O179" s="970"/>
      <c r="P179" s="390">
        <v>6.6</v>
      </c>
      <c r="Q179" s="974">
        <v>7.5</v>
      </c>
      <c r="R179" s="1180" t="s">
        <v>445</v>
      </c>
      <c r="S179" s="1166">
        <v>100</v>
      </c>
      <c r="T179" s="1166">
        <v>100</v>
      </c>
      <c r="U179" s="1168"/>
      <c r="AE179" s="1004"/>
    </row>
    <row r="180" spans="1:31" ht="31.5" customHeight="1" outlineLevel="1" x14ac:dyDescent="0.2">
      <c r="A180" s="1123"/>
      <c r="B180" s="1125"/>
      <c r="C180" s="1127"/>
      <c r="D180" s="1129"/>
      <c r="E180" s="1184"/>
      <c r="F180" s="1186"/>
      <c r="G180" s="976" t="s">
        <v>224</v>
      </c>
      <c r="H180" s="609">
        <v>1.6</v>
      </c>
      <c r="I180" s="610">
        <v>1.6</v>
      </c>
      <c r="J180" s="610">
        <v>1.2</v>
      </c>
      <c r="K180" s="590"/>
      <c r="L180" s="584">
        <v>1.5</v>
      </c>
      <c r="M180" s="585">
        <v>1.5</v>
      </c>
      <c r="N180" s="585">
        <v>1.2</v>
      </c>
      <c r="O180" s="586"/>
      <c r="P180" s="1030">
        <v>2</v>
      </c>
      <c r="Q180" s="612">
        <v>2.2000000000000002</v>
      </c>
      <c r="R180" s="1180"/>
      <c r="S180" s="1187"/>
      <c r="T180" s="1187"/>
      <c r="U180" s="1260"/>
      <c r="AE180" s="1004"/>
    </row>
    <row r="181" spans="1:31" ht="31.5" customHeight="1" outlineLevel="1" x14ac:dyDescent="0.2">
      <c r="A181" s="1123"/>
      <c r="B181" s="1125"/>
      <c r="C181" s="1127"/>
      <c r="D181" s="1129"/>
      <c r="E181" s="1184"/>
      <c r="F181" s="1186"/>
      <c r="G181" s="976" t="s">
        <v>73</v>
      </c>
      <c r="H181" s="584">
        <v>0.4</v>
      </c>
      <c r="I181" s="610">
        <v>0.4</v>
      </c>
      <c r="J181" s="610">
        <v>0.3</v>
      </c>
      <c r="K181" s="590"/>
      <c r="L181" s="584">
        <v>0.4</v>
      </c>
      <c r="M181" s="585">
        <v>0.4</v>
      </c>
      <c r="N181" s="585">
        <v>0.3</v>
      </c>
      <c r="O181" s="586"/>
      <c r="P181" s="1030"/>
      <c r="Q181" s="612"/>
      <c r="R181" s="1180"/>
      <c r="S181" s="1167"/>
      <c r="T181" s="1167"/>
      <c r="U181" s="1169"/>
      <c r="AE181" s="1004"/>
    </row>
    <row r="182" spans="1:31" ht="26.25" customHeight="1" outlineLevel="1" x14ac:dyDescent="0.2">
      <c r="A182" s="1123"/>
      <c r="B182" s="1125"/>
      <c r="C182" s="1127"/>
      <c r="D182" s="1129"/>
      <c r="E182" s="1184"/>
      <c r="F182" s="1186"/>
      <c r="G182" s="580" t="s">
        <v>13</v>
      </c>
      <c r="H182" s="581">
        <f>SUM(H179:H181)</f>
        <v>8.3000000000000007</v>
      </c>
      <c r="I182" s="282">
        <f>SUM(I179:I181)</f>
        <v>8.3000000000000007</v>
      </c>
      <c r="J182" s="282">
        <f>SUM(J179:J181)</f>
        <v>5.7</v>
      </c>
      <c r="K182" s="582">
        <f>SUM(K179:K181)</f>
        <v>0</v>
      </c>
      <c r="L182" s="1015">
        <f t="shared" ref="L182:Q182" si="63">SUM(L179:L181)</f>
        <v>8.1999999999999993</v>
      </c>
      <c r="M182" s="1007">
        <f t="shared" si="63"/>
        <v>8.1999999999999993</v>
      </c>
      <c r="N182" s="1007">
        <f t="shared" si="63"/>
        <v>5.7</v>
      </c>
      <c r="O182" s="1016">
        <f t="shared" si="63"/>
        <v>0</v>
      </c>
      <c r="P182" s="1054">
        <f t="shared" si="63"/>
        <v>8.6</v>
      </c>
      <c r="Q182" s="583">
        <f t="shared" si="63"/>
        <v>9.6999999999999993</v>
      </c>
      <c r="R182" s="1181"/>
      <c r="S182" s="287">
        <f>SUM(S179)</f>
        <v>100</v>
      </c>
      <c r="T182" s="288">
        <f>SUM(T179)</f>
        <v>100</v>
      </c>
      <c r="U182" s="571"/>
      <c r="AE182" s="1004"/>
    </row>
    <row r="183" spans="1:31" ht="31.5" customHeight="1" outlineLevel="1" x14ac:dyDescent="0.2">
      <c r="A183" s="1123" t="s">
        <v>17</v>
      </c>
      <c r="B183" s="1125" t="s">
        <v>18</v>
      </c>
      <c r="C183" s="1127" t="s">
        <v>735</v>
      </c>
      <c r="D183" s="1129" t="s">
        <v>731</v>
      </c>
      <c r="E183" s="1184" t="s">
        <v>732</v>
      </c>
      <c r="F183" s="1186">
        <v>21</v>
      </c>
      <c r="G183" s="976" t="s">
        <v>413</v>
      </c>
      <c r="H183" s="971">
        <v>6.3</v>
      </c>
      <c r="I183" s="972">
        <v>6.3</v>
      </c>
      <c r="J183" s="972">
        <v>4.3</v>
      </c>
      <c r="K183" s="970"/>
      <c r="L183" s="971">
        <v>6.3</v>
      </c>
      <c r="M183" s="972">
        <v>6.3</v>
      </c>
      <c r="N183" s="972">
        <v>4.3</v>
      </c>
      <c r="O183" s="970"/>
      <c r="P183" s="390">
        <v>6.6</v>
      </c>
      <c r="Q183" s="974">
        <v>7.3</v>
      </c>
      <c r="R183" s="1180" t="s">
        <v>445</v>
      </c>
      <c r="S183" s="1166">
        <v>100</v>
      </c>
      <c r="T183" s="1166">
        <v>100</v>
      </c>
      <c r="U183" s="1168"/>
      <c r="AE183" s="1004"/>
    </row>
    <row r="184" spans="1:31" ht="31.5" customHeight="1" outlineLevel="1" x14ac:dyDescent="0.2">
      <c r="A184" s="1123"/>
      <c r="B184" s="1125"/>
      <c r="C184" s="1127"/>
      <c r="D184" s="1129"/>
      <c r="E184" s="1184"/>
      <c r="F184" s="1186"/>
      <c r="G184" s="976" t="s">
        <v>224</v>
      </c>
      <c r="H184" s="609">
        <v>1.8</v>
      </c>
      <c r="I184" s="610">
        <v>1.8</v>
      </c>
      <c r="J184" s="610">
        <v>1.4</v>
      </c>
      <c r="K184" s="590"/>
      <c r="L184" s="584">
        <v>1.8</v>
      </c>
      <c r="M184" s="585">
        <v>1.8</v>
      </c>
      <c r="N184" s="585">
        <v>1.4</v>
      </c>
      <c r="O184" s="586"/>
      <c r="P184" s="1030">
        <v>2.1</v>
      </c>
      <c r="Q184" s="612">
        <v>2.2999999999999998</v>
      </c>
      <c r="R184" s="1180"/>
      <c r="S184" s="1187"/>
      <c r="T184" s="1187"/>
      <c r="U184" s="1260"/>
      <c r="AE184" s="1004"/>
    </row>
    <row r="185" spans="1:31" ht="31.5" customHeight="1" outlineLevel="1" x14ac:dyDescent="0.2">
      <c r="A185" s="1123"/>
      <c r="B185" s="1125"/>
      <c r="C185" s="1127"/>
      <c r="D185" s="1129"/>
      <c r="E185" s="1184"/>
      <c r="F185" s="1186"/>
      <c r="G185" s="976" t="s">
        <v>73</v>
      </c>
      <c r="H185" s="584">
        <v>0.5</v>
      </c>
      <c r="I185" s="610">
        <v>0.5</v>
      </c>
      <c r="J185" s="610">
        <v>0.4</v>
      </c>
      <c r="K185" s="590"/>
      <c r="L185" s="584">
        <v>0.5</v>
      </c>
      <c r="M185" s="585">
        <v>0.5</v>
      </c>
      <c r="N185" s="585">
        <v>0.4</v>
      </c>
      <c r="O185" s="586"/>
      <c r="P185" s="1030"/>
      <c r="Q185" s="612"/>
      <c r="R185" s="1180"/>
      <c r="S185" s="1167"/>
      <c r="T185" s="1167"/>
      <c r="U185" s="1169"/>
      <c r="AE185" s="1004"/>
    </row>
    <row r="186" spans="1:31" ht="6.75" customHeight="1" outlineLevel="1" x14ac:dyDescent="0.2">
      <c r="A186" s="1123"/>
      <c r="B186" s="1125"/>
      <c r="C186" s="1127"/>
      <c r="D186" s="1129"/>
      <c r="E186" s="1184"/>
      <c r="F186" s="1186"/>
      <c r="G186" s="580" t="s">
        <v>13</v>
      </c>
      <c r="H186" s="581">
        <f>SUM(H183:H185)</f>
        <v>8.6</v>
      </c>
      <c r="I186" s="282">
        <f>SUM(I183:I185)</f>
        <v>8.6</v>
      </c>
      <c r="J186" s="282">
        <f>SUM(J183:J185)</f>
        <v>6.1</v>
      </c>
      <c r="K186" s="582">
        <f>SUM(K183:K185)</f>
        <v>0</v>
      </c>
      <c r="L186" s="1015">
        <f t="shared" ref="L186:Q186" si="64">SUM(L183:L185)</f>
        <v>8.6</v>
      </c>
      <c r="M186" s="1007">
        <f t="shared" si="64"/>
        <v>8.6</v>
      </c>
      <c r="N186" s="1007">
        <f t="shared" si="64"/>
        <v>6.1</v>
      </c>
      <c r="O186" s="1016">
        <f t="shared" si="64"/>
        <v>0</v>
      </c>
      <c r="P186" s="1054">
        <f t="shared" si="64"/>
        <v>8.6999999999999993</v>
      </c>
      <c r="Q186" s="583">
        <f t="shared" si="64"/>
        <v>9.6</v>
      </c>
      <c r="R186" s="1181"/>
      <c r="S186" s="287">
        <f>SUM(S183)</f>
        <v>100</v>
      </c>
      <c r="T186" s="288">
        <f>SUM(T183)</f>
        <v>100</v>
      </c>
      <c r="U186" s="571"/>
      <c r="AE186" s="1004"/>
    </row>
    <row r="187" spans="1:31" ht="28.5" customHeight="1" x14ac:dyDescent="0.2">
      <c r="A187" s="1123" t="s">
        <v>17</v>
      </c>
      <c r="B187" s="1125" t="s">
        <v>18</v>
      </c>
      <c r="C187" s="1182" t="s">
        <v>42</v>
      </c>
      <c r="D187" s="1183" t="s">
        <v>736</v>
      </c>
      <c r="E187" s="1184" t="s">
        <v>737</v>
      </c>
      <c r="F187" s="1185" t="s">
        <v>234</v>
      </c>
      <c r="G187" s="976" t="s">
        <v>413</v>
      </c>
      <c r="H187" s="971">
        <v>308.7</v>
      </c>
      <c r="I187" s="972">
        <v>308.7</v>
      </c>
      <c r="J187" s="972">
        <v>219.5</v>
      </c>
      <c r="K187" s="970"/>
      <c r="L187" s="971">
        <v>308.7</v>
      </c>
      <c r="M187" s="972">
        <v>308.7</v>
      </c>
      <c r="N187" s="972">
        <v>219.5</v>
      </c>
      <c r="O187" s="970"/>
      <c r="P187" s="390">
        <v>308.7</v>
      </c>
      <c r="Q187" s="974">
        <v>336.9</v>
      </c>
      <c r="R187" s="1180" t="s">
        <v>445</v>
      </c>
      <c r="S187" s="1166">
        <v>100</v>
      </c>
      <c r="T187" s="1166">
        <v>100</v>
      </c>
      <c r="U187" s="1168"/>
      <c r="AE187" s="1004"/>
    </row>
    <row r="188" spans="1:31" ht="13.5" customHeight="1" x14ac:dyDescent="0.2">
      <c r="A188" s="1123"/>
      <c r="B188" s="1125"/>
      <c r="C188" s="1182"/>
      <c r="D188" s="1183"/>
      <c r="E188" s="1184"/>
      <c r="F188" s="1185"/>
      <c r="G188" s="976" t="s">
        <v>224</v>
      </c>
      <c r="H188" s="971">
        <v>8.5</v>
      </c>
      <c r="I188" s="972">
        <v>8.5</v>
      </c>
      <c r="J188" s="972"/>
      <c r="K188" s="970"/>
      <c r="L188" s="971">
        <v>8.5</v>
      </c>
      <c r="M188" s="972">
        <v>8.5</v>
      </c>
      <c r="N188" s="972"/>
      <c r="O188" s="970"/>
      <c r="P188" s="390">
        <v>8.5</v>
      </c>
      <c r="Q188" s="974">
        <v>8.5</v>
      </c>
      <c r="R188" s="1180"/>
      <c r="S188" s="1167"/>
      <c r="T188" s="1167"/>
      <c r="U188" s="1169"/>
      <c r="AE188" s="1004"/>
    </row>
    <row r="189" spans="1:31" ht="15" customHeight="1" x14ac:dyDescent="0.2">
      <c r="A189" s="1123"/>
      <c r="B189" s="1125"/>
      <c r="C189" s="1182"/>
      <c r="D189" s="1183"/>
      <c r="E189" s="1184"/>
      <c r="F189" s="1185"/>
      <c r="G189" s="580" t="s">
        <v>13</v>
      </c>
      <c r="H189" s="581">
        <f>SUM(H187:H188)</f>
        <v>317.2</v>
      </c>
      <c r="I189" s="282">
        <f t="shared" ref="I189:Q189" si="65">SUM(I187:I188)</f>
        <v>317.2</v>
      </c>
      <c r="J189" s="282">
        <f t="shared" si="65"/>
        <v>219.5</v>
      </c>
      <c r="K189" s="582">
        <f t="shared" si="65"/>
        <v>0</v>
      </c>
      <c r="L189" s="1015">
        <f t="shared" si="65"/>
        <v>317.2</v>
      </c>
      <c r="M189" s="1007">
        <f t="shared" si="65"/>
        <v>317.2</v>
      </c>
      <c r="N189" s="1007">
        <f t="shared" si="65"/>
        <v>219.5</v>
      </c>
      <c r="O189" s="1016">
        <f t="shared" si="65"/>
        <v>0</v>
      </c>
      <c r="P189" s="1054">
        <f t="shared" si="65"/>
        <v>317.2</v>
      </c>
      <c r="Q189" s="583">
        <f t="shared" si="65"/>
        <v>345.4</v>
      </c>
      <c r="R189" s="1181"/>
      <c r="S189" s="287">
        <f>SUM(S187)</f>
        <v>100</v>
      </c>
      <c r="T189" s="288">
        <f>SUM(T187)</f>
        <v>100</v>
      </c>
      <c r="U189" s="571"/>
      <c r="W189" s="231"/>
      <c r="AE189" s="1004"/>
    </row>
    <row r="190" spans="1:31" s="1074" customFormat="1" ht="22.5" customHeight="1" x14ac:dyDescent="0.2">
      <c r="A190" s="1123" t="s">
        <v>17</v>
      </c>
      <c r="B190" s="1125" t="s">
        <v>18</v>
      </c>
      <c r="C190" s="1170">
        <v>15</v>
      </c>
      <c r="D190" s="1172" t="s">
        <v>738</v>
      </c>
      <c r="E190" s="1174" t="s">
        <v>739</v>
      </c>
      <c r="F190" s="1176" t="s">
        <v>245</v>
      </c>
      <c r="G190" s="1071" t="s">
        <v>224</v>
      </c>
      <c r="H190" s="971">
        <v>241.5</v>
      </c>
      <c r="I190" s="972">
        <v>241.5</v>
      </c>
      <c r="J190" s="972"/>
      <c r="K190" s="970"/>
      <c r="L190" s="971">
        <v>215.4</v>
      </c>
      <c r="M190" s="972">
        <v>215.4</v>
      </c>
      <c r="N190" s="972"/>
      <c r="O190" s="970"/>
      <c r="P190" s="390">
        <v>292</v>
      </c>
      <c r="Q190" s="974">
        <v>295</v>
      </c>
      <c r="R190" s="1178" t="s">
        <v>740</v>
      </c>
      <c r="S190" s="971">
        <v>2</v>
      </c>
      <c r="T190" s="972">
        <v>2</v>
      </c>
      <c r="U190" s="1022"/>
      <c r="V190" s="1072"/>
      <c r="W190" s="1073"/>
      <c r="X190" s="1003"/>
      <c r="Y190" s="1073"/>
      <c r="Z190" s="1073"/>
      <c r="AE190" s="1075"/>
    </row>
    <row r="191" spans="1:31" s="1074" customFormat="1" ht="24" customHeight="1" x14ac:dyDescent="0.2">
      <c r="A191" s="1124"/>
      <c r="B191" s="1126"/>
      <c r="C191" s="1171"/>
      <c r="D191" s="1173"/>
      <c r="E191" s="1175"/>
      <c r="F191" s="1177"/>
      <c r="G191" s="1076" t="s">
        <v>624</v>
      </c>
      <c r="H191" s="287">
        <f>H190</f>
        <v>241.5</v>
      </c>
      <c r="I191" s="288">
        <f>I190</f>
        <v>241.5</v>
      </c>
      <c r="J191" s="288">
        <f>J190</f>
        <v>0</v>
      </c>
      <c r="K191" s="289">
        <f>K190</f>
        <v>0</v>
      </c>
      <c r="L191" s="551">
        <f t="shared" ref="L191:Q191" si="66">L190</f>
        <v>215.4</v>
      </c>
      <c r="M191" s="552">
        <f t="shared" si="66"/>
        <v>215.4</v>
      </c>
      <c r="N191" s="552">
        <f t="shared" si="66"/>
        <v>0</v>
      </c>
      <c r="O191" s="553">
        <f t="shared" si="66"/>
        <v>0</v>
      </c>
      <c r="P191" s="702">
        <f t="shared" si="66"/>
        <v>292</v>
      </c>
      <c r="Q191" s="567">
        <f t="shared" si="66"/>
        <v>295</v>
      </c>
      <c r="R191" s="1179"/>
      <c r="S191" s="608">
        <f>SUM(S190)</f>
        <v>2</v>
      </c>
      <c r="T191" s="614">
        <f>SUM(T190)</f>
        <v>2</v>
      </c>
      <c r="U191" s="1026"/>
      <c r="V191" s="1077"/>
      <c r="AE191" s="1075"/>
    </row>
    <row r="192" spans="1:31" ht="48" customHeight="1" x14ac:dyDescent="0.2">
      <c r="A192" s="1124" t="s">
        <v>17</v>
      </c>
      <c r="B192" s="1126" t="s">
        <v>18</v>
      </c>
      <c r="C192" s="1150" t="s">
        <v>91</v>
      </c>
      <c r="D192" s="1162" t="s">
        <v>741</v>
      </c>
      <c r="E192" s="1152" t="s">
        <v>742</v>
      </c>
      <c r="F192" s="1154" t="s">
        <v>31</v>
      </c>
      <c r="G192" s="1021" t="s">
        <v>413</v>
      </c>
      <c r="H192" s="971"/>
      <c r="I192" s="972"/>
      <c r="J192" s="585"/>
      <c r="K192" s="586"/>
      <c r="L192" s="971"/>
      <c r="M192" s="972"/>
      <c r="N192" s="585"/>
      <c r="O192" s="586"/>
      <c r="P192" s="1030"/>
      <c r="Q192" s="1033"/>
      <c r="R192" s="1156" t="s">
        <v>445</v>
      </c>
      <c r="S192" s="965">
        <v>0</v>
      </c>
      <c r="T192" s="963">
        <f>+L192</f>
        <v>0</v>
      </c>
      <c r="U192" s="1036"/>
      <c r="V192" s="1014"/>
      <c r="W192" s="1019"/>
      <c r="X192" s="231"/>
      <c r="AE192" s="1004"/>
    </row>
    <row r="193" spans="1:116" ht="18.75" customHeight="1" x14ac:dyDescent="0.2">
      <c r="A193" s="1159"/>
      <c r="B193" s="1160"/>
      <c r="C193" s="1161"/>
      <c r="D193" s="1163"/>
      <c r="E193" s="1164"/>
      <c r="F193" s="1165"/>
      <c r="G193" s="602" t="s">
        <v>13</v>
      </c>
      <c r="H193" s="603">
        <f>SUM(H192:H192)</f>
        <v>0</v>
      </c>
      <c r="I193" s="604">
        <f>SUM(I192:I192)</f>
        <v>0</v>
      </c>
      <c r="J193" s="604">
        <f>SUM(J192:J192)</f>
        <v>0</v>
      </c>
      <c r="K193" s="605">
        <f>SUM(K192:K192)</f>
        <v>0</v>
      </c>
      <c r="L193" s="1045">
        <f t="shared" ref="L193:Q193" si="67">SUM(L192:L192)</f>
        <v>0</v>
      </c>
      <c r="M193" s="1046">
        <f t="shared" si="67"/>
        <v>0</v>
      </c>
      <c r="N193" s="1046">
        <f t="shared" si="67"/>
        <v>0</v>
      </c>
      <c r="O193" s="1047">
        <f t="shared" si="67"/>
        <v>0</v>
      </c>
      <c r="P193" s="1078">
        <f t="shared" si="67"/>
        <v>0</v>
      </c>
      <c r="Q193" s="607">
        <f t="shared" si="67"/>
        <v>0</v>
      </c>
      <c r="R193" s="1158"/>
      <c r="S193" s="608">
        <f>SUM(S192)</f>
        <v>0</v>
      </c>
      <c r="T193" s="614">
        <f>SUM(T192)</f>
        <v>0</v>
      </c>
      <c r="U193" s="1026"/>
      <c r="V193" s="1014"/>
      <c r="W193" s="1014"/>
      <c r="X193" s="231"/>
      <c r="AE193" s="1004"/>
    </row>
    <row r="194" spans="1:116" ht="48" customHeight="1" x14ac:dyDescent="0.2">
      <c r="A194" s="1124" t="s">
        <v>17</v>
      </c>
      <c r="B194" s="1126" t="s">
        <v>18</v>
      </c>
      <c r="C194" s="1150" t="s">
        <v>92</v>
      </c>
      <c r="D194" s="1162" t="s">
        <v>743</v>
      </c>
      <c r="E194" s="1152" t="s">
        <v>744</v>
      </c>
      <c r="F194" s="1154" t="s">
        <v>425</v>
      </c>
      <c r="G194" s="1021" t="s">
        <v>413</v>
      </c>
      <c r="H194" s="971">
        <v>81.900000000000006</v>
      </c>
      <c r="I194" s="972">
        <v>81.900000000000006</v>
      </c>
      <c r="J194" s="585">
        <v>55.7</v>
      </c>
      <c r="K194" s="586"/>
      <c r="L194" s="971">
        <v>78.400000000000006</v>
      </c>
      <c r="M194" s="972">
        <v>78.400000000000006</v>
      </c>
      <c r="N194" s="585">
        <v>55.6</v>
      </c>
      <c r="O194" s="586"/>
      <c r="P194" s="1030">
        <v>80</v>
      </c>
      <c r="Q194" s="612">
        <v>80</v>
      </c>
      <c r="R194" s="1156" t="s">
        <v>445</v>
      </c>
      <c r="S194" s="1034">
        <v>100</v>
      </c>
      <c r="T194" s="1035">
        <v>95.7</v>
      </c>
      <c r="U194" s="1079" t="s">
        <v>745</v>
      </c>
      <c r="V194" s="1014"/>
      <c r="W194" s="1019"/>
      <c r="X194" s="231"/>
      <c r="AE194" s="1004"/>
    </row>
    <row r="195" spans="1:116" ht="18.75" customHeight="1" x14ac:dyDescent="0.2">
      <c r="A195" s="1159"/>
      <c r="B195" s="1160"/>
      <c r="C195" s="1161"/>
      <c r="D195" s="1163"/>
      <c r="E195" s="1164"/>
      <c r="F195" s="1165"/>
      <c r="G195" s="602" t="s">
        <v>13</v>
      </c>
      <c r="H195" s="603">
        <f>SUM(H194:H194)</f>
        <v>81.900000000000006</v>
      </c>
      <c r="I195" s="604">
        <f>SUM(I194:I194)</f>
        <v>81.900000000000006</v>
      </c>
      <c r="J195" s="604">
        <f>SUM(J194:J194)</f>
        <v>55.7</v>
      </c>
      <c r="K195" s="605">
        <f>SUM(K194:K194)</f>
        <v>0</v>
      </c>
      <c r="L195" s="1045">
        <f t="shared" ref="L195:Q195" si="68">SUM(L194:L194)</f>
        <v>78.400000000000006</v>
      </c>
      <c r="M195" s="1046">
        <f t="shared" si="68"/>
        <v>78.400000000000006</v>
      </c>
      <c r="N195" s="1046">
        <f t="shared" si="68"/>
        <v>55.6</v>
      </c>
      <c r="O195" s="1047">
        <f t="shared" si="68"/>
        <v>0</v>
      </c>
      <c r="P195" s="1078">
        <f t="shared" si="68"/>
        <v>80</v>
      </c>
      <c r="Q195" s="607">
        <f t="shared" si="68"/>
        <v>80</v>
      </c>
      <c r="R195" s="1158"/>
      <c r="S195" s="608">
        <f>SUM(S194)</f>
        <v>100</v>
      </c>
      <c r="T195" s="614">
        <f>SUM(T194)</f>
        <v>95.7</v>
      </c>
      <c r="U195" s="1026"/>
      <c r="V195" s="1014"/>
      <c r="W195" s="1014"/>
      <c r="X195" s="231"/>
      <c r="AE195" s="1004"/>
    </row>
    <row r="196" spans="1:116" ht="48" customHeight="1" x14ac:dyDescent="0.2">
      <c r="A196" s="1124" t="s">
        <v>17</v>
      </c>
      <c r="B196" s="1126" t="s">
        <v>18</v>
      </c>
      <c r="C196" s="1150" t="s">
        <v>115</v>
      </c>
      <c r="D196" s="1162" t="s">
        <v>746</v>
      </c>
      <c r="E196" s="1152" t="s">
        <v>412</v>
      </c>
      <c r="F196" s="1154" t="s">
        <v>378</v>
      </c>
      <c r="G196" s="1021" t="s">
        <v>413</v>
      </c>
      <c r="H196" s="971">
        <v>3.3</v>
      </c>
      <c r="I196" s="972">
        <v>3.3</v>
      </c>
      <c r="J196" s="585">
        <v>2</v>
      </c>
      <c r="K196" s="586"/>
      <c r="L196" s="971">
        <v>2.5</v>
      </c>
      <c r="M196" s="972">
        <v>2.5</v>
      </c>
      <c r="N196" s="585">
        <v>1.9</v>
      </c>
      <c r="O196" s="586"/>
      <c r="P196" s="1030">
        <v>2.6</v>
      </c>
      <c r="Q196" s="612">
        <v>2.6</v>
      </c>
      <c r="R196" s="1156" t="s">
        <v>445</v>
      </c>
      <c r="S196" s="1034">
        <v>100</v>
      </c>
      <c r="T196" s="1035">
        <v>100</v>
      </c>
      <c r="U196" s="1079" t="s">
        <v>717</v>
      </c>
      <c r="V196" s="1014"/>
      <c r="W196" s="1019"/>
      <c r="X196" s="231"/>
      <c r="AE196" s="1004"/>
    </row>
    <row r="197" spans="1:116" ht="18.75" customHeight="1" x14ac:dyDescent="0.2">
      <c r="A197" s="1159"/>
      <c r="B197" s="1160"/>
      <c r="C197" s="1161"/>
      <c r="D197" s="1163"/>
      <c r="E197" s="1164"/>
      <c r="F197" s="1165"/>
      <c r="G197" s="602" t="s">
        <v>13</v>
      </c>
      <c r="H197" s="603">
        <f>SUM(H196:H196)</f>
        <v>3.3</v>
      </c>
      <c r="I197" s="604">
        <f>SUM(I196:I196)</f>
        <v>3.3</v>
      </c>
      <c r="J197" s="604">
        <f>SUM(J196:J196)</f>
        <v>2</v>
      </c>
      <c r="K197" s="605">
        <f>SUM(K196:K196)</f>
        <v>0</v>
      </c>
      <c r="L197" s="1045">
        <f t="shared" ref="L197:Q197" si="69">SUM(L196:L196)</f>
        <v>2.5</v>
      </c>
      <c r="M197" s="1046">
        <f t="shared" si="69"/>
        <v>2.5</v>
      </c>
      <c r="N197" s="1046">
        <f t="shared" si="69"/>
        <v>1.9</v>
      </c>
      <c r="O197" s="1047">
        <f t="shared" si="69"/>
        <v>0</v>
      </c>
      <c r="P197" s="1078">
        <f t="shared" si="69"/>
        <v>2.6</v>
      </c>
      <c r="Q197" s="607">
        <f t="shared" si="69"/>
        <v>2.6</v>
      </c>
      <c r="R197" s="1158"/>
      <c r="S197" s="608">
        <f>SUM(S196)</f>
        <v>100</v>
      </c>
      <c r="T197" s="614">
        <f>SUM(T196)</f>
        <v>100</v>
      </c>
      <c r="U197" s="1026"/>
      <c r="V197" s="1014"/>
      <c r="W197" s="1014"/>
      <c r="X197" s="231"/>
      <c r="AE197" s="1004"/>
    </row>
    <row r="198" spans="1:116" ht="48" customHeight="1" x14ac:dyDescent="0.2">
      <c r="A198" s="1124" t="s">
        <v>17</v>
      </c>
      <c r="B198" s="1126" t="s">
        <v>18</v>
      </c>
      <c r="C198" s="1150" t="s">
        <v>93</v>
      </c>
      <c r="D198" s="1162" t="s">
        <v>747</v>
      </c>
      <c r="E198" s="1152" t="s">
        <v>390</v>
      </c>
      <c r="F198" s="1154" t="s">
        <v>378</v>
      </c>
      <c r="G198" s="1021" t="s">
        <v>413</v>
      </c>
      <c r="H198" s="971">
        <v>7.7</v>
      </c>
      <c r="I198" s="972">
        <v>7.7</v>
      </c>
      <c r="J198" s="585">
        <v>5.8</v>
      </c>
      <c r="K198" s="586"/>
      <c r="L198" s="971">
        <v>7.6</v>
      </c>
      <c r="M198" s="972">
        <v>7.6</v>
      </c>
      <c r="N198" s="585">
        <v>5.8</v>
      </c>
      <c r="O198" s="586"/>
      <c r="P198" s="1030">
        <v>9.5</v>
      </c>
      <c r="Q198" s="612">
        <v>9.5</v>
      </c>
      <c r="R198" s="1156" t="s">
        <v>445</v>
      </c>
      <c r="S198" s="1034">
        <v>100</v>
      </c>
      <c r="T198" s="1035">
        <v>100</v>
      </c>
      <c r="U198" s="1036"/>
      <c r="V198" s="1014"/>
      <c r="W198" s="1019"/>
      <c r="X198" s="231"/>
      <c r="AE198" s="1004"/>
    </row>
    <row r="199" spans="1:116" ht="18.75" customHeight="1" x14ac:dyDescent="0.2">
      <c r="A199" s="1159"/>
      <c r="B199" s="1160"/>
      <c r="C199" s="1161"/>
      <c r="D199" s="1163"/>
      <c r="E199" s="1164"/>
      <c r="F199" s="1165"/>
      <c r="G199" s="602" t="s">
        <v>13</v>
      </c>
      <c r="H199" s="603">
        <f>SUM(H198:H198)</f>
        <v>7.7</v>
      </c>
      <c r="I199" s="604">
        <f>SUM(I198:I198)</f>
        <v>7.7</v>
      </c>
      <c r="J199" s="604">
        <f>SUM(J198:J198)</f>
        <v>5.8</v>
      </c>
      <c r="K199" s="605">
        <f>SUM(K198:K198)</f>
        <v>0</v>
      </c>
      <c r="L199" s="1045">
        <f t="shared" ref="L199:Q199" si="70">SUM(L198:L198)</f>
        <v>7.6</v>
      </c>
      <c r="M199" s="1046">
        <f t="shared" si="70"/>
        <v>7.6</v>
      </c>
      <c r="N199" s="1046">
        <f t="shared" si="70"/>
        <v>5.8</v>
      </c>
      <c r="O199" s="1047">
        <f t="shared" si="70"/>
        <v>0</v>
      </c>
      <c r="P199" s="1078">
        <f t="shared" si="70"/>
        <v>9.5</v>
      </c>
      <c r="Q199" s="607">
        <f t="shared" si="70"/>
        <v>9.5</v>
      </c>
      <c r="R199" s="1158"/>
      <c r="S199" s="608">
        <f>SUM(S198)</f>
        <v>100</v>
      </c>
      <c r="T199" s="614">
        <f>SUM(T198)</f>
        <v>100</v>
      </c>
      <c r="U199" s="1026"/>
      <c r="V199" s="1014"/>
      <c r="W199" s="1014"/>
      <c r="X199" s="231"/>
      <c r="AE199" s="1004"/>
    </row>
    <row r="200" spans="1:116" ht="48" customHeight="1" x14ac:dyDescent="0.2">
      <c r="A200" s="1124" t="s">
        <v>17</v>
      </c>
      <c r="B200" s="1126" t="s">
        <v>18</v>
      </c>
      <c r="C200" s="1150" t="s">
        <v>94</v>
      </c>
      <c r="D200" s="1080" t="s">
        <v>748</v>
      </c>
      <c r="E200" s="1152" t="s">
        <v>473</v>
      </c>
      <c r="F200" s="1154" t="s">
        <v>378</v>
      </c>
      <c r="G200" s="1021" t="s">
        <v>413</v>
      </c>
      <c r="H200" s="971">
        <v>3.9</v>
      </c>
      <c r="I200" s="972">
        <v>3.9</v>
      </c>
      <c r="J200" s="585">
        <v>2.9</v>
      </c>
      <c r="K200" s="586"/>
      <c r="L200" s="971">
        <v>3.8</v>
      </c>
      <c r="M200" s="972">
        <v>3.8</v>
      </c>
      <c r="N200" s="585">
        <v>2.8</v>
      </c>
      <c r="O200" s="586"/>
      <c r="P200" s="1030">
        <v>3.6</v>
      </c>
      <c r="Q200" s="612">
        <v>3.6</v>
      </c>
      <c r="R200" s="1156" t="s">
        <v>445</v>
      </c>
      <c r="S200" s="1034">
        <v>100</v>
      </c>
      <c r="T200" s="1035">
        <v>100</v>
      </c>
      <c r="U200" s="1036"/>
      <c r="V200" s="1014"/>
      <c r="W200" s="1019"/>
      <c r="X200" s="231"/>
      <c r="AE200" s="1004"/>
    </row>
    <row r="201" spans="1:116" ht="18.75" customHeight="1" thickBot="1" x14ac:dyDescent="0.25">
      <c r="A201" s="1148"/>
      <c r="B201" s="1149"/>
      <c r="C201" s="1151"/>
      <c r="D201" s="1081"/>
      <c r="E201" s="1153"/>
      <c r="F201" s="1155"/>
      <c r="G201" s="602" t="s">
        <v>13</v>
      </c>
      <c r="H201" s="603">
        <f>SUM(H200:H200)</f>
        <v>3.9</v>
      </c>
      <c r="I201" s="604">
        <f>SUM(I200:I200)</f>
        <v>3.9</v>
      </c>
      <c r="J201" s="604">
        <f>SUM(J200:J200)</f>
        <v>2.9</v>
      </c>
      <c r="K201" s="605">
        <f>SUM(K200:K200)</f>
        <v>0</v>
      </c>
      <c r="L201" s="1045">
        <f t="shared" ref="L201:Q201" si="71">SUM(L200:L200)</f>
        <v>3.8</v>
      </c>
      <c r="M201" s="1046">
        <f t="shared" si="71"/>
        <v>3.8</v>
      </c>
      <c r="N201" s="1046">
        <f t="shared" si="71"/>
        <v>2.8</v>
      </c>
      <c r="O201" s="1047">
        <f t="shared" si="71"/>
        <v>0</v>
      </c>
      <c r="P201" s="1078">
        <f t="shared" si="71"/>
        <v>3.6</v>
      </c>
      <c r="Q201" s="607">
        <f t="shared" si="71"/>
        <v>3.6</v>
      </c>
      <c r="R201" s="1157"/>
      <c r="S201" s="608">
        <f>SUM(S200)</f>
        <v>100</v>
      </c>
      <c r="T201" s="614">
        <f>SUM(T200)</f>
        <v>100</v>
      </c>
      <c r="U201" s="1026"/>
      <c r="V201" s="1014"/>
      <c r="W201" s="1014"/>
      <c r="X201" s="231"/>
      <c r="AE201" s="1004"/>
    </row>
    <row r="202" spans="1:116" ht="48" customHeight="1" x14ac:dyDescent="0.2">
      <c r="A202" s="1124" t="s">
        <v>17</v>
      </c>
      <c r="B202" s="1126" t="s">
        <v>18</v>
      </c>
      <c r="C202" s="1150" t="s">
        <v>95</v>
      </c>
      <c r="D202" s="1080" t="s">
        <v>749</v>
      </c>
      <c r="E202" s="1152" t="s">
        <v>750</v>
      </c>
      <c r="F202" s="1154" t="s">
        <v>378</v>
      </c>
      <c r="G202" s="1021" t="s">
        <v>413</v>
      </c>
      <c r="H202" s="971">
        <v>0.3</v>
      </c>
      <c r="I202" s="972">
        <v>0.3</v>
      </c>
      <c r="J202" s="585">
        <v>0.2</v>
      </c>
      <c r="K202" s="586"/>
      <c r="L202" s="971">
        <v>0.2</v>
      </c>
      <c r="M202" s="972">
        <v>0.2</v>
      </c>
      <c r="N202" s="585">
        <v>0.2</v>
      </c>
      <c r="O202" s="586"/>
      <c r="P202" s="1030">
        <v>3.6</v>
      </c>
      <c r="Q202" s="612">
        <v>3.6</v>
      </c>
      <c r="R202" s="1156" t="s">
        <v>445</v>
      </c>
      <c r="S202" s="1034">
        <v>100</v>
      </c>
      <c r="T202" s="1035">
        <v>100</v>
      </c>
      <c r="U202" s="1036"/>
      <c r="V202" s="1014"/>
      <c r="W202" s="1019"/>
      <c r="X202" s="231"/>
      <c r="AE202" s="1004"/>
    </row>
    <row r="203" spans="1:116" ht="18.75" customHeight="1" thickBot="1" x14ac:dyDescent="0.25">
      <c r="A203" s="1148"/>
      <c r="B203" s="1149"/>
      <c r="C203" s="1151"/>
      <c r="D203" s="1081"/>
      <c r="E203" s="1153"/>
      <c r="F203" s="1155"/>
      <c r="G203" s="602" t="s">
        <v>13</v>
      </c>
      <c r="H203" s="603">
        <f>SUM(H202:H202)</f>
        <v>0.3</v>
      </c>
      <c r="I203" s="604">
        <f>SUM(I202:I202)</f>
        <v>0.3</v>
      </c>
      <c r="J203" s="604">
        <f>SUM(J202:J202)</f>
        <v>0.2</v>
      </c>
      <c r="K203" s="605">
        <f>SUM(K202:K202)</f>
        <v>0</v>
      </c>
      <c r="L203" s="1045">
        <f t="shared" ref="L203:Q203" si="72">SUM(L202:L202)</f>
        <v>0.2</v>
      </c>
      <c r="M203" s="1046">
        <f t="shared" si="72"/>
        <v>0.2</v>
      </c>
      <c r="N203" s="1046">
        <f t="shared" si="72"/>
        <v>0.2</v>
      </c>
      <c r="O203" s="1047">
        <f t="shared" si="72"/>
        <v>0</v>
      </c>
      <c r="P203" s="1078">
        <f t="shared" si="72"/>
        <v>3.6</v>
      </c>
      <c r="Q203" s="607">
        <f t="shared" si="72"/>
        <v>3.6</v>
      </c>
      <c r="R203" s="1157"/>
      <c r="S203" s="608">
        <f>SUM(S202)</f>
        <v>100</v>
      </c>
      <c r="T203" s="614">
        <f>SUM(T202)</f>
        <v>100</v>
      </c>
      <c r="U203" s="1026"/>
      <c r="V203" s="1014"/>
      <c r="W203" s="1014"/>
      <c r="X203" s="231"/>
      <c r="AE203" s="1004"/>
    </row>
    <row r="204" spans="1:116" s="1087" customFormat="1" ht="18.75" customHeight="1" thickBot="1" x14ac:dyDescent="0.25">
      <c r="A204" s="663" t="s">
        <v>17</v>
      </c>
      <c r="B204" s="962" t="s">
        <v>18</v>
      </c>
      <c r="C204" s="1135" t="s">
        <v>49</v>
      </c>
      <c r="D204" s="1136"/>
      <c r="E204" s="1136"/>
      <c r="F204" s="1136"/>
      <c r="G204" s="1136"/>
      <c r="H204" s="618">
        <f>SUM(H193,H189,H150,H146,H144,H126,H124,H122,H102,H100,H98,H96,H94,H92,H90,H191,H195,H197,H199,H203+H201)</f>
        <v>953.59999999999991</v>
      </c>
      <c r="I204" s="618">
        <f t="shared" ref="I204:Q204" si="73">SUM(I193,I189,I150,I146,I144,I126,I124,I122,I102,I100,I98,I96,I94,I92,I90,I191,I195,I197,I199,I203+I201)</f>
        <v>948.59999999999991</v>
      </c>
      <c r="J204" s="618">
        <f>SUM(J193,J189,J150,J146,J144,J126,J124,J122,J102,J100,J98,J96,J94,J92,J90,J191,J195,J197,J199,J203+J201)</f>
        <v>452.40000000000009</v>
      </c>
      <c r="K204" s="618">
        <f t="shared" si="73"/>
        <v>5</v>
      </c>
      <c r="L204" s="618">
        <f t="shared" si="73"/>
        <v>911.09999999999991</v>
      </c>
      <c r="M204" s="618">
        <f t="shared" si="73"/>
        <v>909.3</v>
      </c>
      <c r="N204" s="618">
        <f t="shared" si="73"/>
        <v>452.10000000000008</v>
      </c>
      <c r="O204" s="618">
        <f t="shared" si="73"/>
        <v>1.8</v>
      </c>
      <c r="P204" s="618">
        <f t="shared" si="73"/>
        <v>1102.7</v>
      </c>
      <c r="Q204" s="618">
        <f t="shared" si="73"/>
        <v>1142.2</v>
      </c>
      <c r="R204" s="619" t="s">
        <v>442</v>
      </c>
      <c r="S204" s="1082" t="s">
        <v>442</v>
      </c>
      <c r="T204" s="1083" t="s">
        <v>442</v>
      </c>
      <c r="U204" s="1084" t="s">
        <v>442</v>
      </c>
      <c r="V204" s="1085"/>
      <c r="W204" s="491"/>
      <c r="X204" s="1085"/>
      <c r="Y204" s="1085"/>
      <c r="Z204" s="1085"/>
      <c r="AA204" s="1085"/>
      <c r="AB204" s="1085"/>
      <c r="AC204" s="1085"/>
      <c r="AD204" s="1085"/>
      <c r="AE204" s="1086"/>
      <c r="AF204" s="1085"/>
      <c r="AG204" s="1085"/>
      <c r="AH204" s="1085"/>
      <c r="AI204" s="1085"/>
      <c r="AJ204" s="1085"/>
      <c r="AK204" s="1085"/>
      <c r="AL204" s="1085"/>
      <c r="AM204" s="1085"/>
      <c r="AN204" s="1085"/>
      <c r="AO204" s="1085"/>
      <c r="AP204" s="1085"/>
      <c r="AQ204" s="1085"/>
      <c r="AR204" s="1085"/>
      <c r="AS204" s="1085"/>
      <c r="AT204" s="1085"/>
      <c r="AU204" s="1085"/>
      <c r="AV204" s="1085"/>
      <c r="AW204" s="1085"/>
      <c r="AX204" s="1085"/>
      <c r="AY204" s="1085"/>
      <c r="AZ204" s="1085"/>
      <c r="BA204" s="1085"/>
      <c r="BB204" s="1085"/>
      <c r="BC204" s="1085"/>
      <c r="BD204" s="1085"/>
      <c r="BE204" s="1085"/>
      <c r="BF204" s="1085"/>
      <c r="BG204" s="1085"/>
      <c r="BH204" s="1085"/>
      <c r="BI204" s="1085"/>
      <c r="BJ204" s="1085"/>
      <c r="BK204" s="1085"/>
      <c r="BL204" s="1085"/>
      <c r="BM204" s="1085"/>
      <c r="BN204" s="1085"/>
      <c r="BO204" s="1085"/>
      <c r="BP204" s="1085"/>
      <c r="BQ204" s="1085"/>
      <c r="BR204" s="1085"/>
      <c r="BS204" s="1085"/>
      <c r="BT204" s="1085"/>
      <c r="BU204" s="1085"/>
      <c r="BV204" s="1085"/>
      <c r="BW204" s="1085"/>
      <c r="BX204" s="1085"/>
      <c r="BY204" s="1085"/>
      <c r="BZ204" s="1085"/>
      <c r="CA204" s="1085"/>
      <c r="CB204" s="1085"/>
      <c r="CC204" s="1085"/>
      <c r="CD204" s="1085"/>
      <c r="CE204" s="1085"/>
      <c r="CF204" s="1085"/>
      <c r="CG204" s="1085"/>
      <c r="CH204" s="1085"/>
      <c r="CI204" s="1085"/>
      <c r="CJ204" s="1085"/>
      <c r="CK204" s="1085"/>
      <c r="CL204" s="1085"/>
      <c r="CM204" s="1085"/>
      <c r="CN204" s="1085"/>
      <c r="CO204" s="1085"/>
      <c r="CP204" s="1085"/>
      <c r="CQ204" s="1085"/>
      <c r="CR204" s="1085"/>
      <c r="CS204" s="1085"/>
      <c r="CT204" s="1085"/>
      <c r="CU204" s="1085"/>
      <c r="CV204" s="1085"/>
      <c r="CW204" s="1085"/>
      <c r="CX204" s="1085"/>
      <c r="CY204" s="1085"/>
      <c r="CZ204" s="1085"/>
      <c r="DA204" s="1085"/>
      <c r="DB204" s="1085"/>
      <c r="DC204" s="1085"/>
      <c r="DD204" s="1085"/>
      <c r="DE204" s="1085"/>
      <c r="DF204" s="1085"/>
      <c r="DG204" s="1085"/>
      <c r="DH204" s="1085"/>
      <c r="DI204" s="1085"/>
      <c r="DJ204" s="1085"/>
      <c r="DK204" s="1085"/>
      <c r="DL204" s="1085"/>
    </row>
    <row r="205" spans="1:116" ht="14.25" customHeight="1" thickBot="1" x14ac:dyDescent="0.25">
      <c r="A205" s="667" t="s">
        <v>17</v>
      </c>
      <c r="B205" s="534" t="s">
        <v>19</v>
      </c>
      <c r="C205" s="1137" t="s">
        <v>751</v>
      </c>
      <c r="D205" s="1138"/>
      <c r="E205" s="1138"/>
      <c r="F205" s="1138"/>
      <c r="G205" s="1138"/>
      <c r="H205" s="1138"/>
      <c r="I205" s="1138"/>
      <c r="J205" s="1138"/>
      <c r="K205" s="1138"/>
      <c r="L205" s="1138"/>
      <c r="M205" s="1138"/>
      <c r="N205" s="1138"/>
      <c r="O205" s="1138"/>
      <c r="P205" s="1138"/>
      <c r="Q205" s="1138"/>
      <c r="R205" s="1138"/>
      <c r="S205" s="1138"/>
      <c r="T205" s="1138"/>
      <c r="U205" s="1139"/>
      <c r="AE205" s="1004"/>
    </row>
    <row r="206" spans="1:116" ht="24" customHeight="1" x14ac:dyDescent="0.2">
      <c r="A206" s="1140" t="s">
        <v>17</v>
      </c>
      <c r="B206" s="1141" t="s">
        <v>19</v>
      </c>
      <c r="C206" s="1142" t="s">
        <v>17</v>
      </c>
      <c r="D206" s="1143" t="s">
        <v>752</v>
      </c>
      <c r="E206" s="1144" t="s">
        <v>753</v>
      </c>
      <c r="F206" s="1146">
        <v>5</v>
      </c>
      <c r="G206" s="832" t="s">
        <v>224</v>
      </c>
      <c r="H206" s="978">
        <v>37.1</v>
      </c>
      <c r="I206" s="979">
        <v>37.1</v>
      </c>
      <c r="J206" s="979"/>
      <c r="K206" s="982"/>
      <c r="L206" s="978">
        <v>36.1</v>
      </c>
      <c r="M206" s="979">
        <v>36.1</v>
      </c>
      <c r="N206" s="979"/>
      <c r="O206" s="982"/>
      <c r="P206" s="1088">
        <v>64.8</v>
      </c>
      <c r="Q206" s="1002">
        <v>64.8</v>
      </c>
      <c r="R206" s="1147" t="s">
        <v>754</v>
      </c>
      <c r="S206" s="967">
        <v>100</v>
      </c>
      <c r="T206" s="964">
        <v>100</v>
      </c>
      <c r="U206" s="1089"/>
      <c r="AE206" s="1004"/>
      <c r="AF206" s="231">
        <f>L206+L208+L211+L85</f>
        <v>814.6</v>
      </c>
      <c r="AG206" s="231">
        <f>M206+O208+M211+M85</f>
        <v>814.6</v>
      </c>
      <c r="AH206" s="231">
        <f>N206+N208+N211+N85</f>
        <v>0</v>
      </c>
      <c r="AI206" s="231" t="e">
        <f>O206+#REF!+O211+O85</f>
        <v>#REF!</v>
      </c>
    </row>
    <row r="207" spans="1:116" ht="23.25" customHeight="1" x14ac:dyDescent="0.2">
      <c r="A207" s="1123"/>
      <c r="B207" s="1125"/>
      <c r="C207" s="1127"/>
      <c r="D207" s="1129"/>
      <c r="E207" s="1145"/>
      <c r="F207" s="1133"/>
      <c r="G207" s="580" t="s">
        <v>13</v>
      </c>
      <c r="H207" s="581">
        <f t="shared" ref="H207:Q207" si="74">SUM(H206)</f>
        <v>37.1</v>
      </c>
      <c r="I207" s="282">
        <f t="shared" si="74"/>
        <v>37.1</v>
      </c>
      <c r="J207" s="282">
        <f t="shared" si="74"/>
        <v>0</v>
      </c>
      <c r="K207" s="582">
        <f t="shared" si="74"/>
        <v>0</v>
      </c>
      <c r="L207" s="1015">
        <f t="shared" si="74"/>
        <v>36.1</v>
      </c>
      <c r="M207" s="1007">
        <f t="shared" si="74"/>
        <v>36.1</v>
      </c>
      <c r="N207" s="1007">
        <f t="shared" si="74"/>
        <v>0</v>
      </c>
      <c r="O207" s="1016">
        <f t="shared" si="74"/>
        <v>0</v>
      </c>
      <c r="P207" s="1090">
        <f t="shared" si="74"/>
        <v>64.8</v>
      </c>
      <c r="Q207" s="583">
        <f t="shared" si="74"/>
        <v>64.8</v>
      </c>
      <c r="R207" s="1121"/>
      <c r="S207" s="287">
        <f>SUM(S206)</f>
        <v>100</v>
      </c>
      <c r="T207" s="288">
        <f>SUM(T206)</f>
        <v>100</v>
      </c>
      <c r="U207" s="571"/>
      <c r="AE207" s="1004"/>
    </row>
    <row r="208" spans="1:116" ht="18.75" customHeight="1" x14ac:dyDescent="0.2">
      <c r="A208" s="1123" t="s">
        <v>755</v>
      </c>
      <c r="B208" s="1125" t="s">
        <v>19</v>
      </c>
      <c r="C208" s="1127" t="s">
        <v>18</v>
      </c>
      <c r="D208" s="1129" t="s">
        <v>756</v>
      </c>
      <c r="E208" s="1131" t="s">
        <v>689</v>
      </c>
      <c r="F208" s="1133">
        <v>5</v>
      </c>
      <c r="G208" s="976" t="s">
        <v>224</v>
      </c>
      <c r="H208" s="971">
        <v>775.2</v>
      </c>
      <c r="I208" s="968"/>
      <c r="J208" s="972"/>
      <c r="K208" s="972">
        <v>775.2</v>
      </c>
      <c r="L208" s="971">
        <v>775.1</v>
      </c>
      <c r="M208" s="1039"/>
      <c r="N208" s="972"/>
      <c r="O208" s="972">
        <v>775.1</v>
      </c>
      <c r="P208" s="1091">
        <v>1121.3</v>
      </c>
      <c r="Q208" s="1092">
        <v>1121.3</v>
      </c>
      <c r="R208" s="1121" t="s">
        <v>754</v>
      </c>
      <c r="S208" s="1294">
        <v>100</v>
      </c>
      <c r="T208" s="1168">
        <v>100</v>
      </c>
      <c r="U208" s="1296"/>
      <c r="AE208" s="1004"/>
    </row>
    <row r="209" spans="1:33" ht="18.75" customHeight="1" x14ac:dyDescent="0.2">
      <c r="A209" s="1124"/>
      <c r="B209" s="1126"/>
      <c r="C209" s="1128"/>
      <c r="D209" s="1130"/>
      <c r="E209" s="1132"/>
      <c r="F209" s="1134"/>
      <c r="G209" s="594" t="s">
        <v>757</v>
      </c>
      <c r="H209" s="971">
        <v>207.5</v>
      </c>
      <c r="J209" s="972"/>
      <c r="K209" s="972">
        <v>207.5</v>
      </c>
      <c r="L209" s="971">
        <v>207.5</v>
      </c>
      <c r="N209" s="972"/>
      <c r="O209" s="972">
        <v>207.5</v>
      </c>
      <c r="P209" s="1093"/>
      <c r="Q209" s="1094"/>
      <c r="R209" s="1122"/>
      <c r="S209" s="1295"/>
      <c r="T209" s="1169"/>
      <c r="U209" s="1297"/>
      <c r="AE209" s="1004"/>
    </row>
    <row r="210" spans="1:33" ht="18.75" customHeight="1" x14ac:dyDescent="0.2">
      <c r="A210" s="1124"/>
      <c r="B210" s="1126"/>
      <c r="C210" s="1128"/>
      <c r="D210" s="1130"/>
      <c r="E210" s="1132"/>
      <c r="F210" s="1134"/>
      <c r="G210" s="602" t="s">
        <v>13</v>
      </c>
      <c r="H210" s="581">
        <f>SUM(H208:H209)</f>
        <v>982.7</v>
      </c>
      <c r="I210" s="282">
        <f>SUM(I208:I209)</f>
        <v>0</v>
      </c>
      <c r="J210" s="282">
        <f>SUM(J208)</f>
        <v>0</v>
      </c>
      <c r="K210" s="582">
        <f>SUM(K208:K209)</f>
        <v>982.7</v>
      </c>
      <c r="L210" s="1015">
        <f>SUM(L208:L209)</f>
        <v>982.6</v>
      </c>
      <c r="M210" s="1007">
        <f>SUM(M208:M209)</f>
        <v>0</v>
      </c>
      <c r="N210" s="1007">
        <f>SUM(N208)</f>
        <v>0</v>
      </c>
      <c r="O210" s="1016">
        <f>SUM(O208:O209)</f>
        <v>982.6</v>
      </c>
      <c r="P210" s="1095">
        <f>SUM(P208)</f>
        <v>1121.3</v>
      </c>
      <c r="Q210" s="607">
        <f>SUM(Q208)</f>
        <v>1121.3</v>
      </c>
      <c r="R210" s="1122"/>
      <c r="S210" s="608">
        <f>SUM(S208)</f>
        <v>100</v>
      </c>
      <c r="T210" s="614">
        <f>SUM(T208)</f>
        <v>100</v>
      </c>
      <c r="U210" s="1113"/>
      <c r="AE210" s="1004"/>
    </row>
    <row r="211" spans="1:33" ht="27" customHeight="1" x14ac:dyDescent="0.2">
      <c r="A211" s="1123" t="s">
        <v>755</v>
      </c>
      <c r="B211" s="1125" t="s">
        <v>19</v>
      </c>
      <c r="C211" s="1127" t="s">
        <v>19</v>
      </c>
      <c r="D211" s="1129" t="s">
        <v>758</v>
      </c>
      <c r="E211" s="1131" t="s">
        <v>689</v>
      </c>
      <c r="F211" s="1133">
        <v>5</v>
      </c>
      <c r="G211" s="976" t="s">
        <v>224</v>
      </c>
      <c r="H211" s="971"/>
      <c r="I211" s="972"/>
      <c r="J211" s="972"/>
      <c r="K211" s="970"/>
      <c r="L211" s="971"/>
      <c r="M211" s="972"/>
      <c r="N211" s="972"/>
      <c r="O211" s="970"/>
      <c r="P211" s="700"/>
      <c r="Q211" s="974"/>
      <c r="R211" s="1121" t="s">
        <v>754</v>
      </c>
      <c r="S211" s="971"/>
      <c r="T211" s="972"/>
      <c r="U211" s="1096"/>
      <c r="AE211" s="1004"/>
    </row>
    <row r="212" spans="1:33" ht="23.25" customHeight="1" thickBot="1" x14ac:dyDescent="0.25">
      <c r="A212" s="1124"/>
      <c r="B212" s="1126"/>
      <c r="C212" s="1128"/>
      <c r="D212" s="1130"/>
      <c r="E212" s="1132"/>
      <c r="F212" s="1134"/>
      <c r="G212" s="602" t="s">
        <v>13</v>
      </c>
      <c r="H212" s="603">
        <f>SUM(H211)</f>
        <v>0</v>
      </c>
      <c r="I212" s="604">
        <f>SUM(I211)</f>
        <v>0</v>
      </c>
      <c r="J212" s="604">
        <f>SUM(J211)</f>
        <v>0</v>
      </c>
      <c r="K212" s="605">
        <f>SUM(K211)</f>
        <v>0</v>
      </c>
      <c r="L212" s="1045">
        <f t="shared" ref="L212:Q212" si="75">SUM(L211)</f>
        <v>0</v>
      </c>
      <c r="M212" s="1046">
        <f t="shared" si="75"/>
        <v>0</v>
      </c>
      <c r="N212" s="1046">
        <f t="shared" si="75"/>
        <v>0</v>
      </c>
      <c r="O212" s="1047">
        <f t="shared" si="75"/>
        <v>0</v>
      </c>
      <c r="P212" s="1095">
        <f t="shared" si="75"/>
        <v>0</v>
      </c>
      <c r="Q212" s="1097">
        <f t="shared" si="75"/>
        <v>0</v>
      </c>
      <c r="R212" s="1122"/>
      <c r="S212" s="608">
        <f>SUM(S211)</f>
        <v>0</v>
      </c>
      <c r="T212" s="614">
        <f>SUM(T211)</f>
        <v>0</v>
      </c>
      <c r="U212" s="1026"/>
      <c r="AE212" s="1004"/>
    </row>
    <row r="213" spans="1:33" ht="17.25" customHeight="1" thickBot="1" x14ac:dyDescent="0.25">
      <c r="A213" s="663" t="s">
        <v>17</v>
      </c>
      <c r="B213" s="962" t="s">
        <v>19</v>
      </c>
      <c r="C213" s="1114" t="s">
        <v>49</v>
      </c>
      <c r="D213" s="1114"/>
      <c r="E213" s="1114"/>
      <c r="F213" s="1114"/>
      <c r="G213" s="1115"/>
      <c r="H213" s="1098">
        <f>SUM(H210,H207,H212)</f>
        <v>1019.8000000000001</v>
      </c>
      <c r="I213" s="1098">
        <f>SUM(I210,I207,I212)</f>
        <v>37.1</v>
      </c>
      <c r="J213" s="1098">
        <f>SUM(J210,J207,J212)</f>
        <v>0</v>
      </c>
      <c r="K213" s="1098">
        <f>SUM(K210,K207,K212)</f>
        <v>982.7</v>
      </c>
      <c r="L213" s="1099">
        <f t="shared" ref="L213:Q213" si="76">SUM(L210,L207,L212)</f>
        <v>1018.7</v>
      </c>
      <c r="M213" s="1099">
        <f>SUM(M210,M207,M212)</f>
        <v>36.1</v>
      </c>
      <c r="N213" s="1099">
        <f t="shared" si="76"/>
        <v>0</v>
      </c>
      <c r="O213" s="1099">
        <f t="shared" si="76"/>
        <v>982.6</v>
      </c>
      <c r="P213" s="1100">
        <f t="shared" si="76"/>
        <v>1186.0999999999999</v>
      </c>
      <c r="Q213" s="1099">
        <f t="shared" si="76"/>
        <v>1186.0999999999999</v>
      </c>
      <c r="R213" s="1101" t="s">
        <v>23</v>
      </c>
      <c r="S213" s="620" t="s">
        <v>23</v>
      </c>
      <c r="T213" s="664" t="s">
        <v>23</v>
      </c>
      <c r="U213" s="618" t="s">
        <v>23</v>
      </c>
      <c r="W213" s="231"/>
      <c r="AE213" s="1004"/>
    </row>
    <row r="214" spans="1:33" ht="12" customHeight="1" thickBot="1" x14ac:dyDescent="0.25">
      <c r="A214" s="663" t="s">
        <v>17</v>
      </c>
      <c r="B214" s="1116" t="s">
        <v>15</v>
      </c>
      <c r="C214" s="1116"/>
      <c r="D214" s="1116"/>
      <c r="E214" s="1116"/>
      <c r="F214" s="1116"/>
      <c r="G214" s="1117"/>
      <c r="H214" s="473">
        <f t="shared" ref="H214:Q214" si="77">SUM(H87,H204,H213)</f>
        <v>3921.1000000000004</v>
      </c>
      <c r="I214" s="473">
        <f t="shared" si="77"/>
        <v>2877.7000000000003</v>
      </c>
      <c r="J214" s="473">
        <f t="shared" si="77"/>
        <v>1632</v>
      </c>
      <c r="K214" s="473">
        <f t="shared" si="77"/>
        <v>1043.4000000000001</v>
      </c>
      <c r="L214" s="1102">
        <f t="shared" si="77"/>
        <v>3825.5</v>
      </c>
      <c r="M214" s="1103">
        <f t="shared" si="77"/>
        <v>2788.1</v>
      </c>
      <c r="N214" s="1103">
        <f t="shared" si="77"/>
        <v>1644.4000000000003</v>
      </c>
      <c r="O214" s="1104">
        <f t="shared" si="77"/>
        <v>1037.4000000000001</v>
      </c>
      <c r="P214" s="717">
        <f t="shared" si="77"/>
        <v>4455.8999999999996</v>
      </c>
      <c r="Q214" s="471">
        <f t="shared" si="77"/>
        <v>4525.7000000000007</v>
      </c>
      <c r="R214" s="718" t="s">
        <v>442</v>
      </c>
      <c r="S214" s="1105" t="s">
        <v>442</v>
      </c>
      <c r="T214" s="1106" t="s">
        <v>442</v>
      </c>
      <c r="U214" s="1107" t="s">
        <v>442</v>
      </c>
      <c r="AE214" s="1004"/>
    </row>
    <row r="215" spans="1:33" ht="13.5" customHeight="1" thickBot="1" x14ac:dyDescent="0.25">
      <c r="A215" s="1118" t="s">
        <v>16</v>
      </c>
      <c r="B215" s="1119"/>
      <c r="C215" s="1119"/>
      <c r="D215" s="1119"/>
      <c r="E215" s="1119"/>
      <c r="F215" s="1119"/>
      <c r="G215" s="1120"/>
      <c r="H215" s="484">
        <f t="shared" ref="H215:Q215" si="78">SUM(H214)</f>
        <v>3921.1000000000004</v>
      </c>
      <c r="I215" s="485">
        <f t="shared" si="78"/>
        <v>2877.7000000000003</v>
      </c>
      <c r="J215" s="485">
        <f t="shared" si="78"/>
        <v>1632</v>
      </c>
      <c r="K215" s="485">
        <f t="shared" si="78"/>
        <v>1043.4000000000001</v>
      </c>
      <c r="L215" s="484">
        <f t="shared" si="78"/>
        <v>3825.5</v>
      </c>
      <c r="M215" s="485">
        <f t="shared" si="78"/>
        <v>2788.1</v>
      </c>
      <c r="N215" s="485">
        <f t="shared" si="78"/>
        <v>1644.4000000000003</v>
      </c>
      <c r="O215" s="486">
        <f t="shared" si="78"/>
        <v>1037.4000000000001</v>
      </c>
      <c r="P215" s="720">
        <f t="shared" si="78"/>
        <v>4455.8999999999996</v>
      </c>
      <c r="Q215" s="483">
        <f t="shared" si="78"/>
        <v>4525.7000000000007</v>
      </c>
      <c r="R215" s="721" t="s">
        <v>442</v>
      </c>
      <c r="S215" s="484" t="s">
        <v>442</v>
      </c>
      <c r="T215" s="485" t="s">
        <v>442</v>
      </c>
      <c r="U215" s="486" t="s">
        <v>442</v>
      </c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1004"/>
      <c r="AF215" s="255"/>
      <c r="AG215" s="255"/>
    </row>
    <row r="216" spans="1:33" x14ac:dyDescent="0.2">
      <c r="A216" s="1108"/>
      <c r="B216" s="1108"/>
      <c r="C216" s="1108"/>
      <c r="D216" s="488"/>
      <c r="E216" s="488"/>
      <c r="F216" s="488"/>
      <c r="G216" s="488"/>
      <c r="H216" s="488"/>
      <c r="I216" s="488"/>
      <c r="J216" s="488"/>
      <c r="K216" s="488"/>
      <c r="L216" s="1109"/>
      <c r="M216" s="1109"/>
      <c r="N216" s="1109"/>
      <c r="O216" s="1109"/>
      <c r="P216" s="488"/>
      <c r="Q216" s="488"/>
      <c r="R216" s="684"/>
      <c r="S216" s="684"/>
      <c r="T216" s="684"/>
      <c r="U216" s="255"/>
      <c r="V216" s="255"/>
      <c r="W216" s="255"/>
      <c r="X216" s="255"/>
      <c r="Y216" s="255"/>
      <c r="Z216" s="255"/>
      <c r="AA216" s="255"/>
      <c r="AB216" s="255"/>
      <c r="AC216" s="255"/>
      <c r="AD216" s="255"/>
      <c r="AE216" s="255"/>
      <c r="AF216" s="255"/>
      <c r="AG216" s="255"/>
    </row>
    <row r="217" spans="1:33" x14ac:dyDescent="0.2">
      <c r="D217" s="231"/>
      <c r="E217" s="231"/>
      <c r="F217" s="231"/>
      <c r="G217" s="231"/>
      <c r="H217" s="231"/>
      <c r="I217" s="231"/>
      <c r="J217" s="231"/>
      <c r="K217" s="231"/>
      <c r="L217" s="593"/>
      <c r="M217" s="593"/>
      <c r="N217" s="593"/>
      <c r="O217" s="593"/>
      <c r="P217" s="231"/>
      <c r="Q217" s="231"/>
      <c r="R217" s="231"/>
      <c r="S217" s="231"/>
      <c r="T217" s="231"/>
      <c r="AE217" s="1110"/>
    </row>
    <row r="218" spans="1:33" ht="11.25" hidden="1" customHeight="1" x14ac:dyDescent="0.2">
      <c r="B218" s="1108"/>
      <c r="C218" s="1108"/>
      <c r="D218" s="488"/>
      <c r="E218" s="255"/>
      <c r="F218" s="255"/>
      <c r="G218" s="255"/>
      <c r="H218" s="488" t="e">
        <f>2818206-#REF!</f>
        <v>#REF!</v>
      </c>
      <c r="I218" s="488"/>
      <c r="J218" s="488" t="e">
        <f>330436-#REF!</f>
        <v>#REF!</v>
      </c>
      <c r="K218" s="488"/>
      <c r="L218" s="1109" t="e">
        <f>2818206-#REF!</f>
        <v>#REF!</v>
      </c>
      <c r="M218" s="1109"/>
      <c r="N218" s="1109" t="e">
        <f>330436-#REF!</f>
        <v>#REF!</v>
      </c>
      <c r="O218" s="1109"/>
      <c r="P218" s="488"/>
      <c r="Q218" s="488"/>
      <c r="R218" s="255"/>
    </row>
    <row r="219" spans="1:33" ht="11.25" hidden="1" customHeight="1" x14ac:dyDescent="0.2">
      <c r="B219" s="1108"/>
      <c r="C219" s="1108"/>
      <c r="D219" s="488"/>
      <c r="E219" s="255"/>
      <c r="F219" s="255"/>
      <c r="G219" s="488"/>
      <c r="H219" s="255"/>
      <c r="I219" s="255"/>
      <c r="J219" s="255"/>
      <c r="K219" s="255"/>
      <c r="L219" s="1111"/>
      <c r="M219" s="1111"/>
      <c r="N219" s="1111"/>
      <c r="O219" s="1111"/>
      <c r="P219" s="255"/>
      <c r="Q219" s="255"/>
      <c r="R219" s="255"/>
    </row>
    <row r="220" spans="1:33" x14ac:dyDescent="0.2">
      <c r="B220" s="1108"/>
      <c r="C220" s="1108"/>
      <c r="D220" s="488"/>
      <c r="E220" s="255"/>
      <c r="F220" s="255"/>
      <c r="G220" s="488"/>
      <c r="H220" s="255"/>
      <c r="I220" s="255"/>
      <c r="J220" s="255"/>
      <c r="K220" s="255"/>
      <c r="L220" s="1111"/>
      <c r="M220" s="1111"/>
      <c r="N220" s="1111"/>
      <c r="O220" s="1111"/>
      <c r="P220" s="255"/>
      <c r="Q220" s="255"/>
      <c r="R220" s="255"/>
    </row>
    <row r="221" spans="1:33" ht="15.75" x14ac:dyDescent="0.2">
      <c r="B221" s="1112" t="s">
        <v>759</v>
      </c>
      <c r="C221" s="1112"/>
      <c r="D221" s="1112"/>
      <c r="E221" s="1112"/>
      <c r="F221" s="1112"/>
      <c r="G221" s="1112"/>
      <c r="H221" s="1112"/>
      <c r="I221" s="255"/>
      <c r="J221" s="255"/>
      <c r="K221" s="255"/>
      <c r="L221" s="1111"/>
      <c r="M221" s="1111"/>
      <c r="N221" s="1111"/>
      <c r="O221" s="1111"/>
      <c r="P221" s="255"/>
      <c r="Q221" s="255"/>
      <c r="R221" s="488"/>
    </row>
    <row r="222" spans="1:33" x14ac:dyDescent="0.2">
      <c r="B222" s="1108"/>
      <c r="C222" s="1108"/>
      <c r="D222" s="255"/>
      <c r="E222" s="255"/>
      <c r="F222" s="255"/>
      <c r="G222" s="255"/>
      <c r="H222" s="255"/>
      <c r="I222" s="255"/>
      <c r="J222" s="255"/>
      <c r="K222" s="255"/>
      <c r="L222" s="1111"/>
      <c r="M222" s="1111"/>
      <c r="N222" s="1111"/>
      <c r="O222" s="1111"/>
      <c r="P222" s="255"/>
      <c r="Q222" s="255"/>
      <c r="R222" s="255"/>
    </row>
    <row r="223" spans="1:33" x14ac:dyDescent="0.2">
      <c r="B223" s="1108"/>
      <c r="C223" s="1108"/>
      <c r="D223" s="255"/>
      <c r="E223" s="255"/>
      <c r="F223" s="255"/>
      <c r="G223" s="255"/>
      <c r="H223" s="255"/>
      <c r="I223" s="255"/>
      <c r="J223" s="255"/>
      <c r="K223" s="255"/>
      <c r="L223" s="1111"/>
      <c r="M223" s="1111"/>
      <c r="N223" s="1111"/>
      <c r="O223" s="1111"/>
      <c r="P223" s="255"/>
      <c r="Q223" s="255"/>
      <c r="R223" s="255"/>
    </row>
    <row r="224" spans="1:33" x14ac:dyDescent="0.2">
      <c r="B224" s="1108"/>
      <c r="C224" s="1108"/>
      <c r="D224" s="255"/>
      <c r="E224" s="255"/>
      <c r="F224" s="255"/>
      <c r="G224" s="255"/>
      <c r="H224" s="255"/>
      <c r="I224" s="255"/>
      <c r="J224" s="255"/>
      <c r="K224" s="255"/>
      <c r="L224" s="1111"/>
      <c r="M224" s="1111"/>
      <c r="N224" s="1111"/>
      <c r="O224" s="1111"/>
      <c r="P224" s="255"/>
      <c r="Q224" s="255"/>
      <c r="R224" s="255"/>
    </row>
    <row r="225" spans="2:18" x14ac:dyDescent="0.2">
      <c r="B225" s="1108"/>
      <c r="C225" s="1108"/>
      <c r="D225" s="255"/>
      <c r="E225" s="255"/>
      <c r="F225" s="255"/>
      <c r="G225" s="255"/>
      <c r="H225" s="255"/>
      <c r="I225" s="255"/>
      <c r="J225" s="255"/>
      <c r="K225" s="255"/>
      <c r="L225" s="1111"/>
      <c r="M225" s="1111"/>
      <c r="N225" s="1111"/>
      <c r="O225" s="1111"/>
      <c r="P225" s="255"/>
      <c r="Q225" s="255"/>
      <c r="R225" s="255"/>
    </row>
    <row r="226" spans="2:18" x14ac:dyDescent="0.2">
      <c r="B226" s="1108"/>
      <c r="C226" s="1108"/>
      <c r="D226" s="255"/>
      <c r="E226" s="255"/>
      <c r="F226" s="255"/>
      <c r="G226" s="255"/>
      <c r="H226" s="255"/>
      <c r="I226" s="255"/>
      <c r="J226" s="255"/>
      <c r="K226" s="255"/>
      <c r="L226" s="1111"/>
      <c r="M226" s="1111"/>
      <c r="N226" s="1111"/>
      <c r="O226" s="1111"/>
      <c r="P226" s="255"/>
      <c r="Q226" s="255"/>
      <c r="R226" s="255"/>
    </row>
    <row r="227" spans="2:18" x14ac:dyDescent="0.2">
      <c r="B227" s="1108"/>
      <c r="C227" s="1108"/>
      <c r="D227" s="255"/>
      <c r="E227" s="255"/>
      <c r="F227" s="255"/>
      <c r="G227" s="255"/>
      <c r="H227" s="255"/>
      <c r="I227" s="255"/>
      <c r="J227" s="255"/>
      <c r="K227" s="255"/>
      <c r="L227" s="1111"/>
      <c r="M227" s="1111"/>
      <c r="N227" s="1111"/>
      <c r="O227" s="1111"/>
      <c r="P227" s="255"/>
      <c r="Q227" s="255"/>
      <c r="R227" s="255"/>
    </row>
  </sheetData>
  <mergeCells count="608">
    <mergeCell ref="S208:S209"/>
    <mergeCell ref="T208:T209"/>
    <mergeCell ref="U208:U209"/>
    <mergeCell ref="U21:U22"/>
    <mergeCell ref="S179:S181"/>
    <mergeCell ref="T179:T181"/>
    <mergeCell ref="U179:U181"/>
    <mergeCell ref="U175:U177"/>
    <mergeCell ref="S175:S177"/>
    <mergeCell ref="T175:T177"/>
    <mergeCell ref="S183:S185"/>
    <mergeCell ref="T183:T185"/>
    <mergeCell ref="U183:U185"/>
    <mergeCell ref="S159:S161"/>
    <mergeCell ref="T159:T161"/>
    <mergeCell ref="U159:U161"/>
    <mergeCell ref="S167:S169"/>
    <mergeCell ref="T167:T169"/>
    <mergeCell ref="U167:U169"/>
    <mergeCell ref="S171:S173"/>
    <mergeCell ref="T171:T173"/>
    <mergeCell ref="U171:U173"/>
    <mergeCell ref="S23:S25"/>
    <mergeCell ref="T23:T25"/>
    <mergeCell ref="R1:U1"/>
    <mergeCell ref="A2:U2"/>
    <mergeCell ref="A3:U3"/>
    <mergeCell ref="A4:U4"/>
    <mergeCell ref="A5:U5"/>
    <mergeCell ref="A6:U6"/>
    <mergeCell ref="S155:S157"/>
    <mergeCell ref="T155:T157"/>
    <mergeCell ref="U155:U157"/>
    <mergeCell ref="U151:U153"/>
    <mergeCell ref="T151:T153"/>
    <mergeCell ref="S151:S153"/>
    <mergeCell ref="A7:U7"/>
    <mergeCell ref="A8:A10"/>
    <mergeCell ref="B8:B10"/>
    <mergeCell ref="C8:C10"/>
    <mergeCell ref="D8:D10"/>
    <mergeCell ref="E8:E10"/>
    <mergeCell ref="F8:F10"/>
    <mergeCell ref="G8:G10"/>
    <mergeCell ref="H8:K8"/>
    <mergeCell ref="L8:O8"/>
    <mergeCell ref="U9:U10"/>
    <mergeCell ref="A11:U11"/>
    <mergeCell ref="A12:U12"/>
    <mergeCell ref="B13:U13"/>
    <mergeCell ref="C14:U14"/>
    <mergeCell ref="A15:A18"/>
    <mergeCell ref="B15:B18"/>
    <mergeCell ref="C15:C18"/>
    <mergeCell ref="D15:D18"/>
    <mergeCell ref="E15:E18"/>
    <mergeCell ref="P8:P10"/>
    <mergeCell ref="Q8:Q10"/>
    <mergeCell ref="R8:U8"/>
    <mergeCell ref="H9:H10"/>
    <mergeCell ref="I9:J9"/>
    <mergeCell ref="K9:K10"/>
    <mergeCell ref="L9:L10"/>
    <mergeCell ref="M9:N9"/>
    <mergeCell ref="O9:O10"/>
    <mergeCell ref="R9:R10"/>
    <mergeCell ref="F15:F18"/>
    <mergeCell ref="R15:R18"/>
    <mergeCell ref="S15:S17"/>
    <mergeCell ref="T15:T17"/>
    <mergeCell ref="U15:U17"/>
    <mergeCell ref="A19:A20"/>
    <mergeCell ref="B19:B20"/>
    <mergeCell ref="C19:C20"/>
    <mergeCell ref="D19:D20"/>
    <mergeCell ref="E19:E20"/>
    <mergeCell ref="F19:F20"/>
    <mergeCell ref="R19:R20"/>
    <mergeCell ref="A21:A22"/>
    <mergeCell ref="B21:B22"/>
    <mergeCell ref="C21:C22"/>
    <mergeCell ref="D21:D22"/>
    <mergeCell ref="E21:E22"/>
    <mergeCell ref="F21:F22"/>
    <mergeCell ref="R21:R22"/>
    <mergeCell ref="U23:U25"/>
    <mergeCell ref="A27:A30"/>
    <mergeCell ref="B27:B30"/>
    <mergeCell ref="C27:C30"/>
    <mergeCell ref="D27:D30"/>
    <mergeCell ref="E27:E30"/>
    <mergeCell ref="F27:F30"/>
    <mergeCell ref="A23:A26"/>
    <mergeCell ref="B23:B26"/>
    <mergeCell ref="C23:C26"/>
    <mergeCell ref="D23:D26"/>
    <mergeCell ref="E23:E26"/>
    <mergeCell ref="F23:F26"/>
    <mergeCell ref="R27:R30"/>
    <mergeCell ref="A31:A34"/>
    <mergeCell ref="B31:B34"/>
    <mergeCell ref="C31:C34"/>
    <mergeCell ref="D31:D34"/>
    <mergeCell ref="E31:E34"/>
    <mergeCell ref="F31:F34"/>
    <mergeCell ref="R31:R34"/>
    <mergeCell ref="R23:R26"/>
    <mergeCell ref="R35:R38"/>
    <mergeCell ref="A39:A42"/>
    <mergeCell ref="B39:B42"/>
    <mergeCell ref="C39:C42"/>
    <mergeCell ref="D39:D42"/>
    <mergeCell ref="E39:E42"/>
    <mergeCell ref="F39:F42"/>
    <mergeCell ref="R39:R42"/>
    <mergeCell ref="A35:A38"/>
    <mergeCell ref="B35:B38"/>
    <mergeCell ref="C35:C38"/>
    <mergeCell ref="D35:D38"/>
    <mergeCell ref="E35:E38"/>
    <mergeCell ref="F35:F38"/>
    <mergeCell ref="R43:R46"/>
    <mergeCell ref="A47:A50"/>
    <mergeCell ref="B47:B50"/>
    <mergeCell ref="C47:C50"/>
    <mergeCell ref="D47:D50"/>
    <mergeCell ref="E47:E50"/>
    <mergeCell ref="F47:F50"/>
    <mergeCell ref="R47:R50"/>
    <mergeCell ref="A43:A46"/>
    <mergeCell ref="B43:B46"/>
    <mergeCell ref="C43:C46"/>
    <mergeCell ref="D43:D46"/>
    <mergeCell ref="E43:E46"/>
    <mergeCell ref="F43:F46"/>
    <mergeCell ref="R51:R54"/>
    <mergeCell ref="A55:A58"/>
    <mergeCell ref="B55:B58"/>
    <mergeCell ref="C55:C58"/>
    <mergeCell ref="D55:D58"/>
    <mergeCell ref="E55:E58"/>
    <mergeCell ref="F55:F58"/>
    <mergeCell ref="R55:R58"/>
    <mergeCell ref="A51:A54"/>
    <mergeCell ref="B51:B54"/>
    <mergeCell ref="C51:C54"/>
    <mergeCell ref="D51:D54"/>
    <mergeCell ref="E51:E54"/>
    <mergeCell ref="F51:F54"/>
    <mergeCell ref="R59:R60"/>
    <mergeCell ref="A61:A62"/>
    <mergeCell ref="B61:B62"/>
    <mergeCell ref="C61:C62"/>
    <mergeCell ref="D61:D62"/>
    <mergeCell ref="E61:E62"/>
    <mergeCell ref="F61:F62"/>
    <mergeCell ref="R61:R62"/>
    <mergeCell ref="A59:A60"/>
    <mergeCell ref="B59:B60"/>
    <mergeCell ref="C59:C60"/>
    <mergeCell ref="D59:D60"/>
    <mergeCell ref="E59:E60"/>
    <mergeCell ref="F59:F60"/>
    <mergeCell ref="R63:R64"/>
    <mergeCell ref="A65:A66"/>
    <mergeCell ref="B65:B66"/>
    <mergeCell ref="C65:C66"/>
    <mergeCell ref="D65:D66"/>
    <mergeCell ref="E65:E66"/>
    <mergeCell ref="F65:F66"/>
    <mergeCell ref="R65:R66"/>
    <mergeCell ref="A63:A64"/>
    <mergeCell ref="B63:B64"/>
    <mergeCell ref="C63:C64"/>
    <mergeCell ref="D63:D64"/>
    <mergeCell ref="E63:E64"/>
    <mergeCell ref="F63:F64"/>
    <mergeCell ref="R67:R68"/>
    <mergeCell ref="A69:A70"/>
    <mergeCell ref="B69:B70"/>
    <mergeCell ref="C69:C70"/>
    <mergeCell ref="D69:D70"/>
    <mergeCell ref="E69:E70"/>
    <mergeCell ref="F69:F70"/>
    <mergeCell ref="R69:R70"/>
    <mergeCell ref="A67:A68"/>
    <mergeCell ref="B67:B68"/>
    <mergeCell ref="C67:C68"/>
    <mergeCell ref="D67:D68"/>
    <mergeCell ref="E67:E68"/>
    <mergeCell ref="F67:F68"/>
    <mergeCell ref="R71:R72"/>
    <mergeCell ref="A73:A74"/>
    <mergeCell ref="B73:B74"/>
    <mergeCell ref="C73:C74"/>
    <mergeCell ref="D73:D74"/>
    <mergeCell ref="E73:E74"/>
    <mergeCell ref="F73:F74"/>
    <mergeCell ref="R73:R74"/>
    <mergeCell ref="A71:A72"/>
    <mergeCell ref="B71:B72"/>
    <mergeCell ref="C71:C72"/>
    <mergeCell ref="D71:D72"/>
    <mergeCell ref="E71:E72"/>
    <mergeCell ref="F71:F72"/>
    <mergeCell ref="R75:R76"/>
    <mergeCell ref="A77:A78"/>
    <mergeCell ref="B77:B78"/>
    <mergeCell ref="C77:C78"/>
    <mergeCell ref="D77:D78"/>
    <mergeCell ref="E77:E78"/>
    <mergeCell ref="F77:F78"/>
    <mergeCell ref="R77:R78"/>
    <mergeCell ref="A75:A76"/>
    <mergeCell ref="B75:B76"/>
    <mergeCell ref="C75:C76"/>
    <mergeCell ref="D75:D76"/>
    <mergeCell ref="E75:E76"/>
    <mergeCell ref="F75:F76"/>
    <mergeCell ref="R79:R80"/>
    <mergeCell ref="A81:A82"/>
    <mergeCell ref="B81:B82"/>
    <mergeCell ref="C81:C82"/>
    <mergeCell ref="D81:D82"/>
    <mergeCell ref="E81:E82"/>
    <mergeCell ref="F81:F82"/>
    <mergeCell ref="R81:R82"/>
    <mergeCell ref="A79:A80"/>
    <mergeCell ref="B79:B80"/>
    <mergeCell ref="C79:C80"/>
    <mergeCell ref="D79:D80"/>
    <mergeCell ref="E79:E80"/>
    <mergeCell ref="F79:F80"/>
    <mergeCell ref="R83:R84"/>
    <mergeCell ref="A85:A86"/>
    <mergeCell ref="B85:B86"/>
    <mergeCell ref="C85:C86"/>
    <mergeCell ref="D85:D86"/>
    <mergeCell ref="E85:E86"/>
    <mergeCell ref="F85:F86"/>
    <mergeCell ref="R85:R86"/>
    <mergeCell ref="A83:A84"/>
    <mergeCell ref="B83:B84"/>
    <mergeCell ref="C83:C84"/>
    <mergeCell ref="D83:D84"/>
    <mergeCell ref="E83:E84"/>
    <mergeCell ref="F83:F84"/>
    <mergeCell ref="C87:G87"/>
    <mergeCell ref="C88:U88"/>
    <mergeCell ref="A89:A90"/>
    <mergeCell ref="B89:B90"/>
    <mergeCell ref="C89:C90"/>
    <mergeCell ref="D89:D90"/>
    <mergeCell ref="E89:E90"/>
    <mergeCell ref="F89:F90"/>
    <mergeCell ref="R89:R90"/>
    <mergeCell ref="R91:R92"/>
    <mergeCell ref="A93:A94"/>
    <mergeCell ref="B93:B94"/>
    <mergeCell ref="C93:C94"/>
    <mergeCell ref="D93:D94"/>
    <mergeCell ref="E93:E94"/>
    <mergeCell ref="F93:F94"/>
    <mergeCell ref="R93:R94"/>
    <mergeCell ref="A91:A92"/>
    <mergeCell ref="B91:B92"/>
    <mergeCell ref="C91:C92"/>
    <mergeCell ref="D91:D92"/>
    <mergeCell ref="E91:E92"/>
    <mergeCell ref="F91:F92"/>
    <mergeCell ref="R95:R96"/>
    <mergeCell ref="A97:A98"/>
    <mergeCell ref="B97:B98"/>
    <mergeCell ref="C97:C98"/>
    <mergeCell ref="D97:D98"/>
    <mergeCell ref="E97:E98"/>
    <mergeCell ref="F97:F98"/>
    <mergeCell ref="R97:R98"/>
    <mergeCell ref="A95:A96"/>
    <mergeCell ref="B95:B96"/>
    <mergeCell ref="C95:C96"/>
    <mergeCell ref="D95:D96"/>
    <mergeCell ref="E95:E96"/>
    <mergeCell ref="F95:F96"/>
    <mergeCell ref="R99:R100"/>
    <mergeCell ref="A101:A102"/>
    <mergeCell ref="B101:B102"/>
    <mergeCell ref="C101:C102"/>
    <mergeCell ref="D101:D102"/>
    <mergeCell ref="E101:E102"/>
    <mergeCell ref="F101:F102"/>
    <mergeCell ref="R101:R102"/>
    <mergeCell ref="A99:A100"/>
    <mergeCell ref="B99:B100"/>
    <mergeCell ref="C99:C100"/>
    <mergeCell ref="D99:D100"/>
    <mergeCell ref="E99:E100"/>
    <mergeCell ref="F99:F100"/>
    <mergeCell ref="R103:R104"/>
    <mergeCell ref="A105:A106"/>
    <mergeCell ref="B105:B106"/>
    <mergeCell ref="C105:C106"/>
    <mergeCell ref="D105:D106"/>
    <mergeCell ref="E105:E106"/>
    <mergeCell ref="F105:F106"/>
    <mergeCell ref="R105:R106"/>
    <mergeCell ref="A103:A104"/>
    <mergeCell ref="B103:B104"/>
    <mergeCell ref="C103:C104"/>
    <mergeCell ref="D103:D104"/>
    <mergeCell ref="E103:E104"/>
    <mergeCell ref="F103:F104"/>
    <mergeCell ref="R107:R108"/>
    <mergeCell ref="A109:A110"/>
    <mergeCell ref="B109:B110"/>
    <mergeCell ref="C109:C110"/>
    <mergeCell ref="D109:D110"/>
    <mergeCell ref="E109:E110"/>
    <mergeCell ref="F109:F110"/>
    <mergeCell ref="R109:R110"/>
    <mergeCell ref="A107:A108"/>
    <mergeCell ref="B107:B108"/>
    <mergeCell ref="C107:C108"/>
    <mergeCell ref="D107:D108"/>
    <mergeCell ref="E107:E108"/>
    <mergeCell ref="F107:F108"/>
    <mergeCell ref="R111:R112"/>
    <mergeCell ref="A113:A114"/>
    <mergeCell ref="B113:B114"/>
    <mergeCell ref="C113:C114"/>
    <mergeCell ref="D113:D114"/>
    <mergeCell ref="E113:E114"/>
    <mergeCell ref="F113:F114"/>
    <mergeCell ref="R113:R114"/>
    <mergeCell ref="A111:A112"/>
    <mergeCell ref="B111:B112"/>
    <mergeCell ref="C111:C112"/>
    <mergeCell ref="D111:D112"/>
    <mergeCell ref="E111:E112"/>
    <mergeCell ref="F111:F112"/>
    <mergeCell ref="R115:R116"/>
    <mergeCell ref="A117:A118"/>
    <mergeCell ref="B117:B118"/>
    <mergeCell ref="C117:C118"/>
    <mergeCell ref="D117:D118"/>
    <mergeCell ref="E117:E118"/>
    <mergeCell ref="F117:F118"/>
    <mergeCell ref="R117:R118"/>
    <mergeCell ref="A115:A116"/>
    <mergeCell ref="B115:B116"/>
    <mergeCell ref="C115:C116"/>
    <mergeCell ref="D115:D116"/>
    <mergeCell ref="E115:E116"/>
    <mergeCell ref="F115:F116"/>
    <mergeCell ref="R119:R120"/>
    <mergeCell ref="A121:A122"/>
    <mergeCell ref="B121:B122"/>
    <mergeCell ref="C121:C122"/>
    <mergeCell ref="D121:D122"/>
    <mergeCell ref="E121:E122"/>
    <mergeCell ref="F121:F122"/>
    <mergeCell ref="R121:R122"/>
    <mergeCell ref="A119:A120"/>
    <mergeCell ref="B119:B120"/>
    <mergeCell ref="C119:C120"/>
    <mergeCell ref="D119:D120"/>
    <mergeCell ref="E119:E120"/>
    <mergeCell ref="F119:F120"/>
    <mergeCell ref="R123:R124"/>
    <mergeCell ref="A125:A126"/>
    <mergeCell ref="B125:B126"/>
    <mergeCell ref="C125:C126"/>
    <mergeCell ref="D125:D126"/>
    <mergeCell ref="E125:E126"/>
    <mergeCell ref="F125:F126"/>
    <mergeCell ref="R125:R126"/>
    <mergeCell ref="A123:A124"/>
    <mergeCell ref="B123:B124"/>
    <mergeCell ref="C123:C124"/>
    <mergeCell ref="D123:D124"/>
    <mergeCell ref="E123:E124"/>
    <mergeCell ref="F123:F124"/>
    <mergeCell ref="R127:R128"/>
    <mergeCell ref="A129:A130"/>
    <mergeCell ref="B129:B130"/>
    <mergeCell ref="C129:C130"/>
    <mergeCell ref="D129:D130"/>
    <mergeCell ref="E129:E130"/>
    <mergeCell ref="F129:F130"/>
    <mergeCell ref="R129:R130"/>
    <mergeCell ref="A127:A128"/>
    <mergeCell ref="B127:B128"/>
    <mergeCell ref="C127:C128"/>
    <mergeCell ref="D127:D128"/>
    <mergeCell ref="E127:E128"/>
    <mergeCell ref="F127:F128"/>
    <mergeCell ref="R131:R132"/>
    <mergeCell ref="A133:A134"/>
    <mergeCell ref="B133:B134"/>
    <mergeCell ref="C133:C134"/>
    <mergeCell ref="D133:D134"/>
    <mergeCell ref="E133:E134"/>
    <mergeCell ref="F133:F134"/>
    <mergeCell ref="R133:R134"/>
    <mergeCell ref="A131:A132"/>
    <mergeCell ref="B131:B132"/>
    <mergeCell ref="C131:C132"/>
    <mergeCell ref="D131:D132"/>
    <mergeCell ref="E131:E132"/>
    <mergeCell ref="F131:F132"/>
    <mergeCell ref="R135:R136"/>
    <mergeCell ref="A137:A138"/>
    <mergeCell ref="B137:B138"/>
    <mergeCell ref="C137:C138"/>
    <mergeCell ref="D137:D138"/>
    <mergeCell ref="E137:E138"/>
    <mergeCell ref="F137:F138"/>
    <mergeCell ref="R137:R138"/>
    <mergeCell ref="A135:A136"/>
    <mergeCell ref="B135:B136"/>
    <mergeCell ref="C135:C136"/>
    <mergeCell ref="D135:D136"/>
    <mergeCell ref="E135:E136"/>
    <mergeCell ref="F135:F136"/>
    <mergeCell ref="R139:R140"/>
    <mergeCell ref="A141:A142"/>
    <mergeCell ref="B141:B142"/>
    <mergeCell ref="C141:C142"/>
    <mergeCell ref="D141:D142"/>
    <mergeCell ref="E141:E142"/>
    <mergeCell ref="F141:F142"/>
    <mergeCell ref="R141:R142"/>
    <mergeCell ref="A139:A140"/>
    <mergeCell ref="B139:B140"/>
    <mergeCell ref="C139:C140"/>
    <mergeCell ref="D139:D140"/>
    <mergeCell ref="E139:E140"/>
    <mergeCell ref="F139:F140"/>
    <mergeCell ref="R143:R144"/>
    <mergeCell ref="A145:A146"/>
    <mergeCell ref="B145:B146"/>
    <mergeCell ref="C145:C146"/>
    <mergeCell ref="D145:D146"/>
    <mergeCell ref="E145:E146"/>
    <mergeCell ref="F145:F146"/>
    <mergeCell ref="R145:R146"/>
    <mergeCell ref="A143:A144"/>
    <mergeCell ref="B143:B144"/>
    <mergeCell ref="C143:C144"/>
    <mergeCell ref="D143:D144"/>
    <mergeCell ref="E143:E144"/>
    <mergeCell ref="F143:F144"/>
    <mergeCell ref="S147:S149"/>
    <mergeCell ref="T147:T149"/>
    <mergeCell ref="U147:U149"/>
    <mergeCell ref="A151:A154"/>
    <mergeCell ref="B151:B154"/>
    <mergeCell ref="C151:C154"/>
    <mergeCell ref="D151:D154"/>
    <mergeCell ref="E151:E154"/>
    <mergeCell ref="F151:F154"/>
    <mergeCell ref="A147:A150"/>
    <mergeCell ref="B147:B150"/>
    <mergeCell ref="C147:C150"/>
    <mergeCell ref="D147:D150"/>
    <mergeCell ref="E147:E150"/>
    <mergeCell ref="F147:F150"/>
    <mergeCell ref="R151:R154"/>
    <mergeCell ref="A155:A158"/>
    <mergeCell ref="B155:B158"/>
    <mergeCell ref="C155:C158"/>
    <mergeCell ref="D155:D158"/>
    <mergeCell ref="E155:E158"/>
    <mergeCell ref="F155:F158"/>
    <mergeCell ref="R155:R158"/>
    <mergeCell ref="R147:R150"/>
    <mergeCell ref="R159:R162"/>
    <mergeCell ref="A163:A166"/>
    <mergeCell ref="B163:B166"/>
    <mergeCell ref="C163:C166"/>
    <mergeCell ref="D163:D166"/>
    <mergeCell ref="E163:E166"/>
    <mergeCell ref="F163:F166"/>
    <mergeCell ref="R163:R166"/>
    <mergeCell ref="A159:A162"/>
    <mergeCell ref="B159:B162"/>
    <mergeCell ref="C159:C162"/>
    <mergeCell ref="D159:D162"/>
    <mergeCell ref="E159:E162"/>
    <mergeCell ref="F159:F162"/>
    <mergeCell ref="R167:R170"/>
    <mergeCell ref="A171:A174"/>
    <mergeCell ref="B171:B174"/>
    <mergeCell ref="C171:C174"/>
    <mergeCell ref="D171:D174"/>
    <mergeCell ref="E171:E174"/>
    <mergeCell ref="F171:F174"/>
    <mergeCell ref="R171:R174"/>
    <mergeCell ref="A167:A170"/>
    <mergeCell ref="B167:B170"/>
    <mergeCell ref="C167:C170"/>
    <mergeCell ref="D167:D170"/>
    <mergeCell ref="E167:E170"/>
    <mergeCell ref="F167:F170"/>
    <mergeCell ref="R175:R178"/>
    <mergeCell ref="A179:A182"/>
    <mergeCell ref="B179:B182"/>
    <mergeCell ref="C179:C182"/>
    <mergeCell ref="D179:D182"/>
    <mergeCell ref="E179:E182"/>
    <mergeCell ref="F179:F182"/>
    <mergeCell ref="R179:R182"/>
    <mergeCell ref="A175:A178"/>
    <mergeCell ref="B175:B178"/>
    <mergeCell ref="C175:C178"/>
    <mergeCell ref="D175:D178"/>
    <mergeCell ref="E175:E178"/>
    <mergeCell ref="F175:F178"/>
    <mergeCell ref="R183:R186"/>
    <mergeCell ref="A187:A189"/>
    <mergeCell ref="B187:B189"/>
    <mergeCell ref="C187:C189"/>
    <mergeCell ref="D187:D189"/>
    <mergeCell ref="E187:E189"/>
    <mergeCell ref="F187:F189"/>
    <mergeCell ref="R187:R189"/>
    <mergeCell ref="A183:A186"/>
    <mergeCell ref="B183:B186"/>
    <mergeCell ref="C183:C186"/>
    <mergeCell ref="D183:D186"/>
    <mergeCell ref="E183:E186"/>
    <mergeCell ref="F183:F186"/>
    <mergeCell ref="S187:S188"/>
    <mergeCell ref="T187:T188"/>
    <mergeCell ref="U187:U188"/>
    <mergeCell ref="A190:A191"/>
    <mergeCell ref="B190:B191"/>
    <mergeCell ref="C190:C191"/>
    <mergeCell ref="D190:D191"/>
    <mergeCell ref="E190:E191"/>
    <mergeCell ref="F190:F191"/>
    <mergeCell ref="R190:R191"/>
    <mergeCell ref="R192:R193"/>
    <mergeCell ref="A194:A195"/>
    <mergeCell ref="B194:B195"/>
    <mergeCell ref="C194:C195"/>
    <mergeCell ref="D194:D195"/>
    <mergeCell ref="E194:E195"/>
    <mergeCell ref="F194:F195"/>
    <mergeCell ref="R194:R195"/>
    <mergeCell ref="A192:A193"/>
    <mergeCell ref="B192:B193"/>
    <mergeCell ref="C192:C193"/>
    <mergeCell ref="D192:D193"/>
    <mergeCell ref="E192:E193"/>
    <mergeCell ref="F192:F193"/>
    <mergeCell ref="R196:R197"/>
    <mergeCell ref="A198:A199"/>
    <mergeCell ref="B198:B199"/>
    <mergeCell ref="C198:C199"/>
    <mergeCell ref="D198:D199"/>
    <mergeCell ref="E198:E199"/>
    <mergeCell ref="F198:F199"/>
    <mergeCell ref="R198:R199"/>
    <mergeCell ref="A196:A197"/>
    <mergeCell ref="B196:B197"/>
    <mergeCell ref="C196:C197"/>
    <mergeCell ref="D196:D197"/>
    <mergeCell ref="E196:E197"/>
    <mergeCell ref="F196:F197"/>
    <mergeCell ref="A202:A203"/>
    <mergeCell ref="B202:B203"/>
    <mergeCell ref="C202:C203"/>
    <mergeCell ref="E202:E203"/>
    <mergeCell ref="F202:F203"/>
    <mergeCell ref="R202:R203"/>
    <mergeCell ref="A200:A201"/>
    <mergeCell ref="B200:B201"/>
    <mergeCell ref="C200:C201"/>
    <mergeCell ref="E200:E201"/>
    <mergeCell ref="F200:F201"/>
    <mergeCell ref="R200:R201"/>
    <mergeCell ref="C204:G204"/>
    <mergeCell ref="C205:U205"/>
    <mergeCell ref="A206:A207"/>
    <mergeCell ref="B206:B207"/>
    <mergeCell ref="C206:C207"/>
    <mergeCell ref="D206:D207"/>
    <mergeCell ref="E206:E207"/>
    <mergeCell ref="F206:F207"/>
    <mergeCell ref="R206:R207"/>
    <mergeCell ref="C213:G213"/>
    <mergeCell ref="B214:G214"/>
    <mergeCell ref="A215:G215"/>
    <mergeCell ref="R208:R210"/>
    <mergeCell ref="A211:A212"/>
    <mergeCell ref="B211:B212"/>
    <mergeCell ref="C211:C212"/>
    <mergeCell ref="D211:D212"/>
    <mergeCell ref="E211:E212"/>
    <mergeCell ref="F211:F212"/>
    <mergeCell ref="R211:R212"/>
    <mergeCell ref="A208:A210"/>
    <mergeCell ref="B208:B210"/>
    <mergeCell ref="C208:C210"/>
    <mergeCell ref="D208:D210"/>
    <mergeCell ref="E208:E210"/>
    <mergeCell ref="F208:F210"/>
  </mergeCells>
  <conditionalFormatting sqref="R8">
    <cfRule type="cellIs" dxfId="87" priority="1" stopIfTrue="1" operator="equal">
      <formula>0</formula>
    </cfRule>
  </conditionalFormatting>
  <pageMargins left="0.7" right="0.7" top="0.75" bottom="0.75" header="0.3" footer="0.3"/>
  <pageSetup paperSize="9" scale="58" orientation="landscape" r:id="rId1"/>
  <headerFooter>
    <oddHeader>&amp;C&amp;P</oddHeader>
  </headerFooter>
  <rowBreaks count="3" manualBreakCount="3">
    <brk id="146" max="16383" man="1"/>
    <brk id="174" max="16383" man="1"/>
    <brk id="2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8"/>
  <sheetViews>
    <sheetView topLeftCell="A9" zoomScaleNormal="100" workbookViewId="0">
      <selection activeCell="M9" sqref="M9:M10"/>
    </sheetView>
  </sheetViews>
  <sheetFormatPr defaultRowHeight="11.25" outlineLevelRow="1" x14ac:dyDescent="0.2"/>
  <cols>
    <col min="1" max="1" width="3" style="229" customWidth="1"/>
    <col min="2" max="2" width="3.7109375" style="229" customWidth="1"/>
    <col min="3" max="3" width="3.85546875" style="229" customWidth="1"/>
    <col min="4" max="4" width="21.140625" style="229" customWidth="1"/>
    <col min="5" max="5" width="9.7109375" style="229" customWidth="1"/>
    <col min="6" max="6" width="7.42578125" style="229" hidden="1" customWidth="1"/>
    <col min="7" max="7" width="7.7109375" style="230" customWidth="1"/>
    <col min="8" max="8" width="6" style="229" customWidth="1"/>
    <col min="9" max="18" width="11" style="229" customWidth="1"/>
    <col min="19" max="19" width="12" style="229" customWidth="1"/>
    <col min="20" max="21" width="5.5703125" style="229" customWidth="1"/>
    <col min="22" max="22" width="10.140625" style="229" customWidth="1"/>
    <col min="23" max="256" width="9.140625" style="229"/>
    <col min="257" max="257" width="3" style="229" customWidth="1"/>
    <col min="258" max="258" width="3.7109375" style="229" customWidth="1"/>
    <col min="259" max="259" width="3.85546875" style="229" customWidth="1"/>
    <col min="260" max="260" width="21.140625" style="229" customWidth="1"/>
    <col min="261" max="261" width="9.7109375" style="229" customWidth="1"/>
    <col min="262" max="262" width="0" style="229" hidden="1" customWidth="1"/>
    <col min="263" max="263" width="7.7109375" style="229" customWidth="1"/>
    <col min="264" max="264" width="6" style="229" customWidth="1"/>
    <col min="265" max="265" width="7.28515625" style="229" customWidth="1"/>
    <col min="266" max="266" width="7.140625" style="229" customWidth="1"/>
    <col min="267" max="267" width="8.42578125" style="229" customWidth="1"/>
    <col min="268" max="268" width="6.5703125" style="229" customWidth="1"/>
    <col min="269" max="269" width="8.140625" style="229" customWidth="1"/>
    <col min="270" max="270" width="7.7109375" style="229" customWidth="1"/>
    <col min="271" max="271" width="8.85546875" style="229" customWidth="1"/>
    <col min="272" max="272" width="6.7109375" style="229" customWidth="1"/>
    <col min="273" max="273" width="7" style="229" customWidth="1"/>
    <col min="274" max="274" width="7.85546875" style="229" customWidth="1"/>
    <col min="275" max="275" width="12" style="229" customWidth="1"/>
    <col min="276" max="277" width="5.5703125" style="229" customWidth="1"/>
    <col min="278" max="278" width="10.140625" style="229" customWidth="1"/>
    <col min="279" max="512" width="9.140625" style="229"/>
    <col min="513" max="513" width="3" style="229" customWidth="1"/>
    <col min="514" max="514" width="3.7109375" style="229" customWidth="1"/>
    <col min="515" max="515" width="3.85546875" style="229" customWidth="1"/>
    <col min="516" max="516" width="21.140625" style="229" customWidth="1"/>
    <col min="517" max="517" width="9.7109375" style="229" customWidth="1"/>
    <col min="518" max="518" width="0" style="229" hidden="1" customWidth="1"/>
    <col min="519" max="519" width="7.7109375" style="229" customWidth="1"/>
    <col min="520" max="520" width="6" style="229" customWidth="1"/>
    <col min="521" max="521" width="7.28515625" style="229" customWidth="1"/>
    <col min="522" max="522" width="7.140625" style="229" customWidth="1"/>
    <col min="523" max="523" width="8.42578125" style="229" customWidth="1"/>
    <col min="524" max="524" width="6.5703125" style="229" customWidth="1"/>
    <col min="525" max="525" width="8.140625" style="229" customWidth="1"/>
    <col min="526" max="526" width="7.7109375" style="229" customWidth="1"/>
    <col min="527" max="527" width="8.85546875" style="229" customWidth="1"/>
    <col min="528" max="528" width="6.7109375" style="229" customWidth="1"/>
    <col min="529" max="529" width="7" style="229" customWidth="1"/>
    <col min="530" max="530" width="7.85546875" style="229" customWidth="1"/>
    <col min="531" max="531" width="12" style="229" customWidth="1"/>
    <col min="532" max="533" width="5.5703125" style="229" customWidth="1"/>
    <col min="534" max="534" width="10.140625" style="229" customWidth="1"/>
    <col min="535" max="768" width="9.140625" style="229"/>
    <col min="769" max="769" width="3" style="229" customWidth="1"/>
    <col min="770" max="770" width="3.7109375" style="229" customWidth="1"/>
    <col min="771" max="771" width="3.85546875" style="229" customWidth="1"/>
    <col min="772" max="772" width="21.140625" style="229" customWidth="1"/>
    <col min="773" max="773" width="9.7109375" style="229" customWidth="1"/>
    <col min="774" max="774" width="0" style="229" hidden="1" customWidth="1"/>
    <col min="775" max="775" width="7.7109375" style="229" customWidth="1"/>
    <col min="776" max="776" width="6" style="229" customWidth="1"/>
    <col min="777" max="777" width="7.28515625" style="229" customWidth="1"/>
    <col min="778" max="778" width="7.140625" style="229" customWidth="1"/>
    <col min="779" max="779" width="8.42578125" style="229" customWidth="1"/>
    <col min="780" max="780" width="6.5703125" style="229" customWidth="1"/>
    <col min="781" max="781" width="8.140625" style="229" customWidth="1"/>
    <col min="782" max="782" width="7.7109375" style="229" customWidth="1"/>
    <col min="783" max="783" width="8.85546875" style="229" customWidth="1"/>
    <col min="784" max="784" width="6.7109375" style="229" customWidth="1"/>
    <col min="785" max="785" width="7" style="229" customWidth="1"/>
    <col min="786" max="786" width="7.85546875" style="229" customWidth="1"/>
    <col min="787" max="787" width="12" style="229" customWidth="1"/>
    <col min="788" max="789" width="5.5703125" style="229" customWidth="1"/>
    <col min="790" max="790" width="10.140625" style="229" customWidth="1"/>
    <col min="791" max="1024" width="9.140625" style="229"/>
    <col min="1025" max="1025" width="3" style="229" customWidth="1"/>
    <col min="1026" max="1026" width="3.7109375" style="229" customWidth="1"/>
    <col min="1027" max="1027" width="3.85546875" style="229" customWidth="1"/>
    <col min="1028" max="1028" width="21.140625" style="229" customWidth="1"/>
    <col min="1029" max="1029" width="9.7109375" style="229" customWidth="1"/>
    <col min="1030" max="1030" width="0" style="229" hidden="1" customWidth="1"/>
    <col min="1031" max="1031" width="7.7109375" style="229" customWidth="1"/>
    <col min="1032" max="1032" width="6" style="229" customWidth="1"/>
    <col min="1033" max="1033" width="7.28515625" style="229" customWidth="1"/>
    <col min="1034" max="1034" width="7.140625" style="229" customWidth="1"/>
    <col min="1035" max="1035" width="8.42578125" style="229" customWidth="1"/>
    <col min="1036" max="1036" width="6.5703125" style="229" customWidth="1"/>
    <col min="1037" max="1037" width="8.140625" style="229" customWidth="1"/>
    <col min="1038" max="1038" width="7.7109375" style="229" customWidth="1"/>
    <col min="1039" max="1039" width="8.85546875" style="229" customWidth="1"/>
    <col min="1040" max="1040" width="6.7109375" style="229" customWidth="1"/>
    <col min="1041" max="1041" width="7" style="229" customWidth="1"/>
    <col min="1042" max="1042" width="7.85546875" style="229" customWidth="1"/>
    <col min="1043" max="1043" width="12" style="229" customWidth="1"/>
    <col min="1044" max="1045" width="5.5703125" style="229" customWidth="1"/>
    <col min="1046" max="1046" width="10.140625" style="229" customWidth="1"/>
    <col min="1047" max="1280" width="9.140625" style="229"/>
    <col min="1281" max="1281" width="3" style="229" customWidth="1"/>
    <col min="1282" max="1282" width="3.7109375" style="229" customWidth="1"/>
    <col min="1283" max="1283" width="3.85546875" style="229" customWidth="1"/>
    <col min="1284" max="1284" width="21.140625" style="229" customWidth="1"/>
    <col min="1285" max="1285" width="9.7109375" style="229" customWidth="1"/>
    <col min="1286" max="1286" width="0" style="229" hidden="1" customWidth="1"/>
    <col min="1287" max="1287" width="7.7109375" style="229" customWidth="1"/>
    <col min="1288" max="1288" width="6" style="229" customWidth="1"/>
    <col min="1289" max="1289" width="7.28515625" style="229" customWidth="1"/>
    <col min="1290" max="1290" width="7.140625" style="229" customWidth="1"/>
    <col min="1291" max="1291" width="8.42578125" style="229" customWidth="1"/>
    <col min="1292" max="1292" width="6.5703125" style="229" customWidth="1"/>
    <col min="1293" max="1293" width="8.140625" style="229" customWidth="1"/>
    <col min="1294" max="1294" width="7.7109375" style="229" customWidth="1"/>
    <col min="1295" max="1295" width="8.85546875" style="229" customWidth="1"/>
    <col min="1296" max="1296" width="6.7109375" style="229" customWidth="1"/>
    <col min="1297" max="1297" width="7" style="229" customWidth="1"/>
    <col min="1298" max="1298" width="7.85546875" style="229" customWidth="1"/>
    <col min="1299" max="1299" width="12" style="229" customWidth="1"/>
    <col min="1300" max="1301" width="5.5703125" style="229" customWidth="1"/>
    <col min="1302" max="1302" width="10.140625" style="229" customWidth="1"/>
    <col min="1303" max="1536" width="9.140625" style="229"/>
    <col min="1537" max="1537" width="3" style="229" customWidth="1"/>
    <col min="1538" max="1538" width="3.7109375" style="229" customWidth="1"/>
    <col min="1539" max="1539" width="3.85546875" style="229" customWidth="1"/>
    <col min="1540" max="1540" width="21.140625" style="229" customWidth="1"/>
    <col min="1541" max="1541" width="9.7109375" style="229" customWidth="1"/>
    <col min="1542" max="1542" width="0" style="229" hidden="1" customWidth="1"/>
    <col min="1543" max="1543" width="7.7109375" style="229" customWidth="1"/>
    <col min="1544" max="1544" width="6" style="229" customWidth="1"/>
    <col min="1545" max="1545" width="7.28515625" style="229" customWidth="1"/>
    <col min="1546" max="1546" width="7.140625" style="229" customWidth="1"/>
    <col min="1547" max="1547" width="8.42578125" style="229" customWidth="1"/>
    <col min="1548" max="1548" width="6.5703125" style="229" customWidth="1"/>
    <col min="1549" max="1549" width="8.140625" style="229" customWidth="1"/>
    <col min="1550" max="1550" width="7.7109375" style="229" customWidth="1"/>
    <col min="1551" max="1551" width="8.85546875" style="229" customWidth="1"/>
    <col min="1552" max="1552" width="6.7109375" style="229" customWidth="1"/>
    <col min="1553" max="1553" width="7" style="229" customWidth="1"/>
    <col min="1554" max="1554" width="7.85546875" style="229" customWidth="1"/>
    <col min="1555" max="1555" width="12" style="229" customWidth="1"/>
    <col min="1556" max="1557" width="5.5703125" style="229" customWidth="1"/>
    <col min="1558" max="1558" width="10.140625" style="229" customWidth="1"/>
    <col min="1559" max="1792" width="9.140625" style="229"/>
    <col min="1793" max="1793" width="3" style="229" customWidth="1"/>
    <col min="1794" max="1794" width="3.7109375" style="229" customWidth="1"/>
    <col min="1795" max="1795" width="3.85546875" style="229" customWidth="1"/>
    <col min="1796" max="1796" width="21.140625" style="229" customWidth="1"/>
    <col min="1797" max="1797" width="9.7109375" style="229" customWidth="1"/>
    <col min="1798" max="1798" width="0" style="229" hidden="1" customWidth="1"/>
    <col min="1799" max="1799" width="7.7109375" style="229" customWidth="1"/>
    <col min="1800" max="1800" width="6" style="229" customWidth="1"/>
    <col min="1801" max="1801" width="7.28515625" style="229" customWidth="1"/>
    <col min="1802" max="1802" width="7.140625" style="229" customWidth="1"/>
    <col min="1803" max="1803" width="8.42578125" style="229" customWidth="1"/>
    <col min="1804" max="1804" width="6.5703125" style="229" customWidth="1"/>
    <col min="1805" max="1805" width="8.140625" style="229" customWidth="1"/>
    <col min="1806" max="1806" width="7.7109375" style="229" customWidth="1"/>
    <col min="1807" max="1807" width="8.85546875" style="229" customWidth="1"/>
    <col min="1808" max="1808" width="6.7109375" style="229" customWidth="1"/>
    <col min="1809" max="1809" width="7" style="229" customWidth="1"/>
    <col min="1810" max="1810" width="7.85546875" style="229" customWidth="1"/>
    <col min="1811" max="1811" width="12" style="229" customWidth="1"/>
    <col min="1812" max="1813" width="5.5703125" style="229" customWidth="1"/>
    <col min="1814" max="1814" width="10.140625" style="229" customWidth="1"/>
    <col min="1815" max="2048" width="9.140625" style="229"/>
    <col min="2049" max="2049" width="3" style="229" customWidth="1"/>
    <col min="2050" max="2050" width="3.7109375" style="229" customWidth="1"/>
    <col min="2051" max="2051" width="3.85546875" style="229" customWidth="1"/>
    <col min="2052" max="2052" width="21.140625" style="229" customWidth="1"/>
    <col min="2053" max="2053" width="9.7109375" style="229" customWidth="1"/>
    <col min="2054" max="2054" width="0" style="229" hidden="1" customWidth="1"/>
    <col min="2055" max="2055" width="7.7109375" style="229" customWidth="1"/>
    <col min="2056" max="2056" width="6" style="229" customWidth="1"/>
    <col min="2057" max="2057" width="7.28515625" style="229" customWidth="1"/>
    <col min="2058" max="2058" width="7.140625" style="229" customWidth="1"/>
    <col min="2059" max="2059" width="8.42578125" style="229" customWidth="1"/>
    <col min="2060" max="2060" width="6.5703125" style="229" customWidth="1"/>
    <col min="2061" max="2061" width="8.140625" style="229" customWidth="1"/>
    <col min="2062" max="2062" width="7.7109375" style="229" customWidth="1"/>
    <col min="2063" max="2063" width="8.85546875" style="229" customWidth="1"/>
    <col min="2064" max="2064" width="6.7109375" style="229" customWidth="1"/>
    <col min="2065" max="2065" width="7" style="229" customWidth="1"/>
    <col min="2066" max="2066" width="7.85546875" style="229" customWidth="1"/>
    <col min="2067" max="2067" width="12" style="229" customWidth="1"/>
    <col min="2068" max="2069" width="5.5703125" style="229" customWidth="1"/>
    <col min="2070" max="2070" width="10.140625" style="229" customWidth="1"/>
    <col min="2071" max="2304" width="9.140625" style="229"/>
    <col min="2305" max="2305" width="3" style="229" customWidth="1"/>
    <col min="2306" max="2306" width="3.7109375" style="229" customWidth="1"/>
    <col min="2307" max="2307" width="3.85546875" style="229" customWidth="1"/>
    <col min="2308" max="2308" width="21.140625" style="229" customWidth="1"/>
    <col min="2309" max="2309" width="9.7109375" style="229" customWidth="1"/>
    <col min="2310" max="2310" width="0" style="229" hidden="1" customWidth="1"/>
    <col min="2311" max="2311" width="7.7109375" style="229" customWidth="1"/>
    <col min="2312" max="2312" width="6" style="229" customWidth="1"/>
    <col min="2313" max="2313" width="7.28515625" style="229" customWidth="1"/>
    <col min="2314" max="2314" width="7.140625" style="229" customWidth="1"/>
    <col min="2315" max="2315" width="8.42578125" style="229" customWidth="1"/>
    <col min="2316" max="2316" width="6.5703125" style="229" customWidth="1"/>
    <col min="2317" max="2317" width="8.140625" style="229" customWidth="1"/>
    <col min="2318" max="2318" width="7.7109375" style="229" customWidth="1"/>
    <col min="2319" max="2319" width="8.85546875" style="229" customWidth="1"/>
    <col min="2320" max="2320" width="6.7109375" style="229" customWidth="1"/>
    <col min="2321" max="2321" width="7" style="229" customWidth="1"/>
    <col min="2322" max="2322" width="7.85546875" style="229" customWidth="1"/>
    <col min="2323" max="2323" width="12" style="229" customWidth="1"/>
    <col min="2324" max="2325" width="5.5703125" style="229" customWidth="1"/>
    <col min="2326" max="2326" width="10.140625" style="229" customWidth="1"/>
    <col min="2327" max="2560" width="9.140625" style="229"/>
    <col min="2561" max="2561" width="3" style="229" customWidth="1"/>
    <col min="2562" max="2562" width="3.7109375" style="229" customWidth="1"/>
    <col min="2563" max="2563" width="3.85546875" style="229" customWidth="1"/>
    <col min="2564" max="2564" width="21.140625" style="229" customWidth="1"/>
    <col min="2565" max="2565" width="9.7109375" style="229" customWidth="1"/>
    <col min="2566" max="2566" width="0" style="229" hidden="1" customWidth="1"/>
    <col min="2567" max="2567" width="7.7109375" style="229" customWidth="1"/>
    <col min="2568" max="2568" width="6" style="229" customWidth="1"/>
    <col min="2569" max="2569" width="7.28515625" style="229" customWidth="1"/>
    <col min="2570" max="2570" width="7.140625" style="229" customWidth="1"/>
    <col min="2571" max="2571" width="8.42578125" style="229" customWidth="1"/>
    <col min="2572" max="2572" width="6.5703125" style="229" customWidth="1"/>
    <col min="2573" max="2573" width="8.140625" style="229" customWidth="1"/>
    <col min="2574" max="2574" width="7.7109375" style="229" customWidth="1"/>
    <col min="2575" max="2575" width="8.85546875" style="229" customWidth="1"/>
    <col min="2576" max="2576" width="6.7109375" style="229" customWidth="1"/>
    <col min="2577" max="2577" width="7" style="229" customWidth="1"/>
    <col min="2578" max="2578" width="7.85546875" style="229" customWidth="1"/>
    <col min="2579" max="2579" width="12" style="229" customWidth="1"/>
    <col min="2580" max="2581" width="5.5703125" style="229" customWidth="1"/>
    <col min="2582" max="2582" width="10.140625" style="229" customWidth="1"/>
    <col min="2583" max="2816" width="9.140625" style="229"/>
    <col min="2817" max="2817" width="3" style="229" customWidth="1"/>
    <col min="2818" max="2818" width="3.7109375" style="229" customWidth="1"/>
    <col min="2819" max="2819" width="3.85546875" style="229" customWidth="1"/>
    <col min="2820" max="2820" width="21.140625" style="229" customWidth="1"/>
    <col min="2821" max="2821" width="9.7109375" style="229" customWidth="1"/>
    <col min="2822" max="2822" width="0" style="229" hidden="1" customWidth="1"/>
    <col min="2823" max="2823" width="7.7109375" style="229" customWidth="1"/>
    <col min="2824" max="2824" width="6" style="229" customWidth="1"/>
    <col min="2825" max="2825" width="7.28515625" style="229" customWidth="1"/>
    <col min="2826" max="2826" width="7.140625" style="229" customWidth="1"/>
    <col min="2827" max="2827" width="8.42578125" style="229" customWidth="1"/>
    <col min="2828" max="2828" width="6.5703125" style="229" customWidth="1"/>
    <col min="2829" max="2829" width="8.140625" style="229" customWidth="1"/>
    <col min="2830" max="2830" width="7.7109375" style="229" customWidth="1"/>
    <col min="2831" max="2831" width="8.85546875" style="229" customWidth="1"/>
    <col min="2832" max="2832" width="6.7109375" style="229" customWidth="1"/>
    <col min="2833" max="2833" width="7" style="229" customWidth="1"/>
    <col min="2834" max="2834" width="7.85546875" style="229" customWidth="1"/>
    <col min="2835" max="2835" width="12" style="229" customWidth="1"/>
    <col min="2836" max="2837" width="5.5703125" style="229" customWidth="1"/>
    <col min="2838" max="2838" width="10.140625" style="229" customWidth="1"/>
    <col min="2839" max="3072" width="9.140625" style="229"/>
    <col min="3073" max="3073" width="3" style="229" customWidth="1"/>
    <col min="3074" max="3074" width="3.7109375" style="229" customWidth="1"/>
    <col min="3075" max="3075" width="3.85546875" style="229" customWidth="1"/>
    <col min="3076" max="3076" width="21.140625" style="229" customWidth="1"/>
    <col min="3077" max="3077" width="9.7109375" style="229" customWidth="1"/>
    <col min="3078" max="3078" width="0" style="229" hidden="1" customWidth="1"/>
    <col min="3079" max="3079" width="7.7109375" style="229" customWidth="1"/>
    <col min="3080" max="3080" width="6" style="229" customWidth="1"/>
    <col min="3081" max="3081" width="7.28515625" style="229" customWidth="1"/>
    <col min="3082" max="3082" width="7.140625" style="229" customWidth="1"/>
    <col min="3083" max="3083" width="8.42578125" style="229" customWidth="1"/>
    <col min="3084" max="3084" width="6.5703125" style="229" customWidth="1"/>
    <col min="3085" max="3085" width="8.140625" style="229" customWidth="1"/>
    <col min="3086" max="3086" width="7.7109375" style="229" customWidth="1"/>
    <col min="3087" max="3087" width="8.85546875" style="229" customWidth="1"/>
    <col min="3088" max="3088" width="6.7109375" style="229" customWidth="1"/>
    <col min="3089" max="3089" width="7" style="229" customWidth="1"/>
    <col min="3090" max="3090" width="7.85546875" style="229" customWidth="1"/>
    <col min="3091" max="3091" width="12" style="229" customWidth="1"/>
    <col min="3092" max="3093" width="5.5703125" style="229" customWidth="1"/>
    <col min="3094" max="3094" width="10.140625" style="229" customWidth="1"/>
    <col min="3095" max="3328" width="9.140625" style="229"/>
    <col min="3329" max="3329" width="3" style="229" customWidth="1"/>
    <col min="3330" max="3330" width="3.7109375" style="229" customWidth="1"/>
    <col min="3331" max="3331" width="3.85546875" style="229" customWidth="1"/>
    <col min="3332" max="3332" width="21.140625" style="229" customWidth="1"/>
    <col min="3333" max="3333" width="9.7109375" style="229" customWidth="1"/>
    <col min="3334" max="3334" width="0" style="229" hidden="1" customWidth="1"/>
    <col min="3335" max="3335" width="7.7109375" style="229" customWidth="1"/>
    <col min="3336" max="3336" width="6" style="229" customWidth="1"/>
    <col min="3337" max="3337" width="7.28515625" style="229" customWidth="1"/>
    <col min="3338" max="3338" width="7.140625" style="229" customWidth="1"/>
    <col min="3339" max="3339" width="8.42578125" style="229" customWidth="1"/>
    <col min="3340" max="3340" width="6.5703125" style="229" customWidth="1"/>
    <col min="3341" max="3341" width="8.140625" style="229" customWidth="1"/>
    <col min="3342" max="3342" width="7.7109375" style="229" customWidth="1"/>
    <col min="3343" max="3343" width="8.85546875" style="229" customWidth="1"/>
    <col min="3344" max="3344" width="6.7109375" style="229" customWidth="1"/>
    <col min="3345" max="3345" width="7" style="229" customWidth="1"/>
    <col min="3346" max="3346" width="7.85546875" style="229" customWidth="1"/>
    <col min="3347" max="3347" width="12" style="229" customWidth="1"/>
    <col min="3348" max="3349" width="5.5703125" style="229" customWidth="1"/>
    <col min="3350" max="3350" width="10.140625" style="229" customWidth="1"/>
    <col min="3351" max="3584" width="9.140625" style="229"/>
    <col min="3585" max="3585" width="3" style="229" customWidth="1"/>
    <col min="3586" max="3586" width="3.7109375" style="229" customWidth="1"/>
    <col min="3587" max="3587" width="3.85546875" style="229" customWidth="1"/>
    <col min="3588" max="3588" width="21.140625" style="229" customWidth="1"/>
    <col min="3589" max="3589" width="9.7109375" style="229" customWidth="1"/>
    <col min="3590" max="3590" width="0" style="229" hidden="1" customWidth="1"/>
    <col min="3591" max="3591" width="7.7109375" style="229" customWidth="1"/>
    <col min="3592" max="3592" width="6" style="229" customWidth="1"/>
    <col min="3593" max="3593" width="7.28515625" style="229" customWidth="1"/>
    <col min="3594" max="3594" width="7.140625" style="229" customWidth="1"/>
    <col min="3595" max="3595" width="8.42578125" style="229" customWidth="1"/>
    <col min="3596" max="3596" width="6.5703125" style="229" customWidth="1"/>
    <col min="3597" max="3597" width="8.140625" style="229" customWidth="1"/>
    <col min="3598" max="3598" width="7.7109375" style="229" customWidth="1"/>
    <col min="3599" max="3599" width="8.85546875" style="229" customWidth="1"/>
    <col min="3600" max="3600" width="6.7109375" style="229" customWidth="1"/>
    <col min="3601" max="3601" width="7" style="229" customWidth="1"/>
    <col min="3602" max="3602" width="7.85546875" style="229" customWidth="1"/>
    <col min="3603" max="3603" width="12" style="229" customWidth="1"/>
    <col min="3604" max="3605" width="5.5703125" style="229" customWidth="1"/>
    <col min="3606" max="3606" width="10.140625" style="229" customWidth="1"/>
    <col min="3607" max="3840" width="9.140625" style="229"/>
    <col min="3841" max="3841" width="3" style="229" customWidth="1"/>
    <col min="3842" max="3842" width="3.7109375" style="229" customWidth="1"/>
    <col min="3843" max="3843" width="3.85546875" style="229" customWidth="1"/>
    <col min="3844" max="3844" width="21.140625" style="229" customWidth="1"/>
    <col min="3845" max="3845" width="9.7109375" style="229" customWidth="1"/>
    <col min="3846" max="3846" width="0" style="229" hidden="1" customWidth="1"/>
    <col min="3847" max="3847" width="7.7109375" style="229" customWidth="1"/>
    <col min="3848" max="3848" width="6" style="229" customWidth="1"/>
    <col min="3849" max="3849" width="7.28515625" style="229" customWidth="1"/>
    <col min="3850" max="3850" width="7.140625" style="229" customWidth="1"/>
    <col min="3851" max="3851" width="8.42578125" style="229" customWidth="1"/>
    <col min="3852" max="3852" width="6.5703125" style="229" customWidth="1"/>
    <col min="3853" max="3853" width="8.140625" style="229" customWidth="1"/>
    <col min="3854" max="3854" width="7.7109375" style="229" customWidth="1"/>
    <col min="3855" max="3855" width="8.85546875" style="229" customWidth="1"/>
    <col min="3856" max="3856" width="6.7109375" style="229" customWidth="1"/>
    <col min="3857" max="3857" width="7" style="229" customWidth="1"/>
    <col min="3858" max="3858" width="7.85546875" style="229" customWidth="1"/>
    <col min="3859" max="3859" width="12" style="229" customWidth="1"/>
    <col min="3860" max="3861" width="5.5703125" style="229" customWidth="1"/>
    <col min="3862" max="3862" width="10.140625" style="229" customWidth="1"/>
    <col min="3863" max="4096" width="9.140625" style="229"/>
    <col min="4097" max="4097" width="3" style="229" customWidth="1"/>
    <col min="4098" max="4098" width="3.7109375" style="229" customWidth="1"/>
    <col min="4099" max="4099" width="3.85546875" style="229" customWidth="1"/>
    <col min="4100" max="4100" width="21.140625" style="229" customWidth="1"/>
    <col min="4101" max="4101" width="9.7109375" style="229" customWidth="1"/>
    <col min="4102" max="4102" width="0" style="229" hidden="1" customWidth="1"/>
    <col min="4103" max="4103" width="7.7109375" style="229" customWidth="1"/>
    <col min="4104" max="4104" width="6" style="229" customWidth="1"/>
    <col min="4105" max="4105" width="7.28515625" style="229" customWidth="1"/>
    <col min="4106" max="4106" width="7.140625" style="229" customWidth="1"/>
    <col min="4107" max="4107" width="8.42578125" style="229" customWidth="1"/>
    <col min="4108" max="4108" width="6.5703125" style="229" customWidth="1"/>
    <col min="4109" max="4109" width="8.140625" style="229" customWidth="1"/>
    <col min="4110" max="4110" width="7.7109375" style="229" customWidth="1"/>
    <col min="4111" max="4111" width="8.85546875" style="229" customWidth="1"/>
    <col min="4112" max="4112" width="6.7109375" style="229" customWidth="1"/>
    <col min="4113" max="4113" width="7" style="229" customWidth="1"/>
    <col min="4114" max="4114" width="7.85546875" style="229" customWidth="1"/>
    <col min="4115" max="4115" width="12" style="229" customWidth="1"/>
    <col min="4116" max="4117" width="5.5703125" style="229" customWidth="1"/>
    <col min="4118" max="4118" width="10.140625" style="229" customWidth="1"/>
    <col min="4119" max="4352" width="9.140625" style="229"/>
    <col min="4353" max="4353" width="3" style="229" customWidth="1"/>
    <col min="4354" max="4354" width="3.7109375" style="229" customWidth="1"/>
    <col min="4355" max="4355" width="3.85546875" style="229" customWidth="1"/>
    <col min="4356" max="4356" width="21.140625" style="229" customWidth="1"/>
    <col min="4357" max="4357" width="9.7109375" style="229" customWidth="1"/>
    <col min="4358" max="4358" width="0" style="229" hidden="1" customWidth="1"/>
    <col min="4359" max="4359" width="7.7109375" style="229" customWidth="1"/>
    <col min="4360" max="4360" width="6" style="229" customWidth="1"/>
    <col min="4361" max="4361" width="7.28515625" style="229" customWidth="1"/>
    <col min="4362" max="4362" width="7.140625" style="229" customWidth="1"/>
    <col min="4363" max="4363" width="8.42578125" style="229" customWidth="1"/>
    <col min="4364" max="4364" width="6.5703125" style="229" customWidth="1"/>
    <col min="4365" max="4365" width="8.140625" style="229" customWidth="1"/>
    <col min="4366" max="4366" width="7.7109375" style="229" customWidth="1"/>
    <col min="4367" max="4367" width="8.85546875" style="229" customWidth="1"/>
    <col min="4368" max="4368" width="6.7109375" style="229" customWidth="1"/>
    <col min="4369" max="4369" width="7" style="229" customWidth="1"/>
    <col min="4370" max="4370" width="7.85546875" style="229" customWidth="1"/>
    <col min="4371" max="4371" width="12" style="229" customWidth="1"/>
    <col min="4372" max="4373" width="5.5703125" style="229" customWidth="1"/>
    <col min="4374" max="4374" width="10.140625" style="229" customWidth="1"/>
    <col min="4375" max="4608" width="9.140625" style="229"/>
    <col min="4609" max="4609" width="3" style="229" customWidth="1"/>
    <col min="4610" max="4610" width="3.7109375" style="229" customWidth="1"/>
    <col min="4611" max="4611" width="3.85546875" style="229" customWidth="1"/>
    <col min="4612" max="4612" width="21.140625" style="229" customWidth="1"/>
    <col min="4613" max="4613" width="9.7109375" style="229" customWidth="1"/>
    <col min="4614" max="4614" width="0" style="229" hidden="1" customWidth="1"/>
    <col min="4615" max="4615" width="7.7109375" style="229" customWidth="1"/>
    <col min="4616" max="4616" width="6" style="229" customWidth="1"/>
    <col min="4617" max="4617" width="7.28515625" style="229" customWidth="1"/>
    <col min="4618" max="4618" width="7.140625" style="229" customWidth="1"/>
    <col min="4619" max="4619" width="8.42578125" style="229" customWidth="1"/>
    <col min="4620" max="4620" width="6.5703125" style="229" customWidth="1"/>
    <col min="4621" max="4621" width="8.140625" style="229" customWidth="1"/>
    <col min="4622" max="4622" width="7.7109375" style="229" customWidth="1"/>
    <col min="4623" max="4623" width="8.85546875" style="229" customWidth="1"/>
    <col min="4624" max="4624" width="6.7109375" style="229" customWidth="1"/>
    <col min="4625" max="4625" width="7" style="229" customWidth="1"/>
    <col min="4626" max="4626" width="7.85546875" style="229" customWidth="1"/>
    <col min="4627" max="4627" width="12" style="229" customWidth="1"/>
    <col min="4628" max="4629" width="5.5703125" style="229" customWidth="1"/>
    <col min="4630" max="4630" width="10.140625" style="229" customWidth="1"/>
    <col min="4631" max="4864" width="9.140625" style="229"/>
    <col min="4865" max="4865" width="3" style="229" customWidth="1"/>
    <col min="4866" max="4866" width="3.7109375" style="229" customWidth="1"/>
    <col min="4867" max="4867" width="3.85546875" style="229" customWidth="1"/>
    <col min="4868" max="4868" width="21.140625" style="229" customWidth="1"/>
    <col min="4869" max="4869" width="9.7109375" style="229" customWidth="1"/>
    <col min="4870" max="4870" width="0" style="229" hidden="1" customWidth="1"/>
    <col min="4871" max="4871" width="7.7109375" style="229" customWidth="1"/>
    <col min="4872" max="4872" width="6" style="229" customWidth="1"/>
    <col min="4873" max="4873" width="7.28515625" style="229" customWidth="1"/>
    <col min="4874" max="4874" width="7.140625" style="229" customWidth="1"/>
    <col min="4875" max="4875" width="8.42578125" style="229" customWidth="1"/>
    <col min="4876" max="4876" width="6.5703125" style="229" customWidth="1"/>
    <col min="4877" max="4877" width="8.140625" style="229" customWidth="1"/>
    <col min="4878" max="4878" width="7.7109375" style="229" customWidth="1"/>
    <col min="4879" max="4879" width="8.85546875" style="229" customWidth="1"/>
    <col min="4880" max="4880" width="6.7109375" style="229" customWidth="1"/>
    <col min="4881" max="4881" width="7" style="229" customWidth="1"/>
    <col min="4882" max="4882" width="7.85546875" style="229" customWidth="1"/>
    <col min="4883" max="4883" width="12" style="229" customWidth="1"/>
    <col min="4884" max="4885" width="5.5703125" style="229" customWidth="1"/>
    <col min="4886" max="4886" width="10.140625" style="229" customWidth="1"/>
    <col min="4887" max="5120" width="9.140625" style="229"/>
    <col min="5121" max="5121" width="3" style="229" customWidth="1"/>
    <col min="5122" max="5122" width="3.7109375" style="229" customWidth="1"/>
    <col min="5123" max="5123" width="3.85546875" style="229" customWidth="1"/>
    <col min="5124" max="5124" width="21.140625" style="229" customWidth="1"/>
    <col min="5125" max="5125" width="9.7109375" style="229" customWidth="1"/>
    <col min="5126" max="5126" width="0" style="229" hidden="1" customWidth="1"/>
    <col min="5127" max="5127" width="7.7109375" style="229" customWidth="1"/>
    <col min="5128" max="5128" width="6" style="229" customWidth="1"/>
    <col min="5129" max="5129" width="7.28515625" style="229" customWidth="1"/>
    <col min="5130" max="5130" width="7.140625" style="229" customWidth="1"/>
    <col min="5131" max="5131" width="8.42578125" style="229" customWidth="1"/>
    <col min="5132" max="5132" width="6.5703125" style="229" customWidth="1"/>
    <col min="5133" max="5133" width="8.140625" style="229" customWidth="1"/>
    <col min="5134" max="5134" width="7.7109375" style="229" customWidth="1"/>
    <col min="5135" max="5135" width="8.85546875" style="229" customWidth="1"/>
    <col min="5136" max="5136" width="6.7109375" style="229" customWidth="1"/>
    <col min="5137" max="5137" width="7" style="229" customWidth="1"/>
    <col min="5138" max="5138" width="7.85546875" style="229" customWidth="1"/>
    <col min="5139" max="5139" width="12" style="229" customWidth="1"/>
    <col min="5140" max="5141" width="5.5703125" style="229" customWidth="1"/>
    <col min="5142" max="5142" width="10.140625" style="229" customWidth="1"/>
    <col min="5143" max="5376" width="9.140625" style="229"/>
    <col min="5377" max="5377" width="3" style="229" customWidth="1"/>
    <col min="5378" max="5378" width="3.7109375" style="229" customWidth="1"/>
    <col min="5379" max="5379" width="3.85546875" style="229" customWidth="1"/>
    <col min="5380" max="5380" width="21.140625" style="229" customWidth="1"/>
    <col min="5381" max="5381" width="9.7109375" style="229" customWidth="1"/>
    <col min="5382" max="5382" width="0" style="229" hidden="1" customWidth="1"/>
    <col min="5383" max="5383" width="7.7109375" style="229" customWidth="1"/>
    <col min="5384" max="5384" width="6" style="229" customWidth="1"/>
    <col min="5385" max="5385" width="7.28515625" style="229" customWidth="1"/>
    <col min="5386" max="5386" width="7.140625" style="229" customWidth="1"/>
    <col min="5387" max="5387" width="8.42578125" style="229" customWidth="1"/>
    <col min="5388" max="5388" width="6.5703125" style="229" customWidth="1"/>
    <col min="5389" max="5389" width="8.140625" style="229" customWidth="1"/>
    <col min="5390" max="5390" width="7.7109375" style="229" customWidth="1"/>
    <col min="5391" max="5391" width="8.85546875" style="229" customWidth="1"/>
    <col min="5392" max="5392" width="6.7109375" style="229" customWidth="1"/>
    <col min="5393" max="5393" width="7" style="229" customWidth="1"/>
    <col min="5394" max="5394" width="7.85546875" style="229" customWidth="1"/>
    <col min="5395" max="5395" width="12" style="229" customWidth="1"/>
    <col min="5396" max="5397" width="5.5703125" style="229" customWidth="1"/>
    <col min="5398" max="5398" width="10.140625" style="229" customWidth="1"/>
    <col min="5399" max="5632" width="9.140625" style="229"/>
    <col min="5633" max="5633" width="3" style="229" customWidth="1"/>
    <col min="5634" max="5634" width="3.7109375" style="229" customWidth="1"/>
    <col min="5635" max="5635" width="3.85546875" style="229" customWidth="1"/>
    <col min="5636" max="5636" width="21.140625" style="229" customWidth="1"/>
    <col min="5637" max="5637" width="9.7109375" style="229" customWidth="1"/>
    <col min="5638" max="5638" width="0" style="229" hidden="1" customWidth="1"/>
    <col min="5639" max="5639" width="7.7109375" style="229" customWidth="1"/>
    <col min="5640" max="5640" width="6" style="229" customWidth="1"/>
    <col min="5641" max="5641" width="7.28515625" style="229" customWidth="1"/>
    <col min="5642" max="5642" width="7.140625" style="229" customWidth="1"/>
    <col min="5643" max="5643" width="8.42578125" style="229" customWidth="1"/>
    <col min="5644" max="5644" width="6.5703125" style="229" customWidth="1"/>
    <col min="5645" max="5645" width="8.140625" style="229" customWidth="1"/>
    <col min="5646" max="5646" width="7.7109375" style="229" customWidth="1"/>
    <col min="5647" max="5647" width="8.85546875" style="229" customWidth="1"/>
    <col min="5648" max="5648" width="6.7109375" style="229" customWidth="1"/>
    <col min="5649" max="5649" width="7" style="229" customWidth="1"/>
    <col min="5650" max="5650" width="7.85546875" style="229" customWidth="1"/>
    <col min="5651" max="5651" width="12" style="229" customWidth="1"/>
    <col min="5652" max="5653" width="5.5703125" style="229" customWidth="1"/>
    <col min="5654" max="5654" width="10.140625" style="229" customWidth="1"/>
    <col min="5655" max="5888" width="9.140625" style="229"/>
    <col min="5889" max="5889" width="3" style="229" customWidth="1"/>
    <col min="5890" max="5890" width="3.7109375" style="229" customWidth="1"/>
    <col min="5891" max="5891" width="3.85546875" style="229" customWidth="1"/>
    <col min="5892" max="5892" width="21.140625" style="229" customWidth="1"/>
    <col min="5893" max="5893" width="9.7109375" style="229" customWidth="1"/>
    <col min="5894" max="5894" width="0" style="229" hidden="1" customWidth="1"/>
    <col min="5895" max="5895" width="7.7109375" style="229" customWidth="1"/>
    <col min="5896" max="5896" width="6" style="229" customWidth="1"/>
    <col min="5897" max="5897" width="7.28515625" style="229" customWidth="1"/>
    <col min="5898" max="5898" width="7.140625" style="229" customWidth="1"/>
    <col min="5899" max="5899" width="8.42578125" style="229" customWidth="1"/>
    <col min="5900" max="5900" width="6.5703125" style="229" customWidth="1"/>
    <col min="5901" max="5901" width="8.140625" style="229" customWidth="1"/>
    <col min="5902" max="5902" width="7.7109375" style="229" customWidth="1"/>
    <col min="5903" max="5903" width="8.85546875" style="229" customWidth="1"/>
    <col min="5904" max="5904" width="6.7109375" style="229" customWidth="1"/>
    <col min="5905" max="5905" width="7" style="229" customWidth="1"/>
    <col min="5906" max="5906" width="7.85546875" style="229" customWidth="1"/>
    <col min="5907" max="5907" width="12" style="229" customWidth="1"/>
    <col min="5908" max="5909" width="5.5703125" style="229" customWidth="1"/>
    <col min="5910" max="5910" width="10.140625" style="229" customWidth="1"/>
    <col min="5911" max="6144" width="9.140625" style="229"/>
    <col min="6145" max="6145" width="3" style="229" customWidth="1"/>
    <col min="6146" max="6146" width="3.7109375" style="229" customWidth="1"/>
    <col min="6147" max="6147" width="3.85546875" style="229" customWidth="1"/>
    <col min="6148" max="6148" width="21.140625" style="229" customWidth="1"/>
    <col min="6149" max="6149" width="9.7109375" style="229" customWidth="1"/>
    <col min="6150" max="6150" width="0" style="229" hidden="1" customWidth="1"/>
    <col min="6151" max="6151" width="7.7109375" style="229" customWidth="1"/>
    <col min="6152" max="6152" width="6" style="229" customWidth="1"/>
    <col min="6153" max="6153" width="7.28515625" style="229" customWidth="1"/>
    <col min="6154" max="6154" width="7.140625" style="229" customWidth="1"/>
    <col min="6155" max="6155" width="8.42578125" style="229" customWidth="1"/>
    <col min="6156" max="6156" width="6.5703125" style="229" customWidth="1"/>
    <col min="6157" max="6157" width="8.140625" style="229" customWidth="1"/>
    <col min="6158" max="6158" width="7.7109375" style="229" customWidth="1"/>
    <col min="6159" max="6159" width="8.85546875" style="229" customWidth="1"/>
    <col min="6160" max="6160" width="6.7109375" style="229" customWidth="1"/>
    <col min="6161" max="6161" width="7" style="229" customWidth="1"/>
    <col min="6162" max="6162" width="7.85546875" style="229" customWidth="1"/>
    <col min="6163" max="6163" width="12" style="229" customWidth="1"/>
    <col min="6164" max="6165" width="5.5703125" style="229" customWidth="1"/>
    <col min="6166" max="6166" width="10.140625" style="229" customWidth="1"/>
    <col min="6167" max="6400" width="9.140625" style="229"/>
    <col min="6401" max="6401" width="3" style="229" customWidth="1"/>
    <col min="6402" max="6402" width="3.7109375" style="229" customWidth="1"/>
    <col min="6403" max="6403" width="3.85546875" style="229" customWidth="1"/>
    <col min="6404" max="6404" width="21.140625" style="229" customWidth="1"/>
    <col min="6405" max="6405" width="9.7109375" style="229" customWidth="1"/>
    <col min="6406" max="6406" width="0" style="229" hidden="1" customWidth="1"/>
    <col min="6407" max="6407" width="7.7109375" style="229" customWidth="1"/>
    <col min="6408" max="6408" width="6" style="229" customWidth="1"/>
    <col min="6409" max="6409" width="7.28515625" style="229" customWidth="1"/>
    <col min="6410" max="6410" width="7.140625" style="229" customWidth="1"/>
    <col min="6411" max="6411" width="8.42578125" style="229" customWidth="1"/>
    <col min="6412" max="6412" width="6.5703125" style="229" customWidth="1"/>
    <col min="6413" max="6413" width="8.140625" style="229" customWidth="1"/>
    <col min="6414" max="6414" width="7.7109375" style="229" customWidth="1"/>
    <col min="6415" max="6415" width="8.85546875" style="229" customWidth="1"/>
    <col min="6416" max="6416" width="6.7109375" style="229" customWidth="1"/>
    <col min="6417" max="6417" width="7" style="229" customWidth="1"/>
    <col min="6418" max="6418" width="7.85546875" style="229" customWidth="1"/>
    <col min="6419" max="6419" width="12" style="229" customWidth="1"/>
    <col min="6420" max="6421" width="5.5703125" style="229" customWidth="1"/>
    <col min="6422" max="6422" width="10.140625" style="229" customWidth="1"/>
    <col min="6423" max="6656" width="9.140625" style="229"/>
    <col min="6657" max="6657" width="3" style="229" customWidth="1"/>
    <col min="6658" max="6658" width="3.7109375" style="229" customWidth="1"/>
    <col min="6659" max="6659" width="3.85546875" style="229" customWidth="1"/>
    <col min="6660" max="6660" width="21.140625" style="229" customWidth="1"/>
    <col min="6661" max="6661" width="9.7109375" style="229" customWidth="1"/>
    <col min="6662" max="6662" width="0" style="229" hidden="1" customWidth="1"/>
    <col min="6663" max="6663" width="7.7109375" style="229" customWidth="1"/>
    <col min="6664" max="6664" width="6" style="229" customWidth="1"/>
    <col min="6665" max="6665" width="7.28515625" style="229" customWidth="1"/>
    <col min="6666" max="6666" width="7.140625" style="229" customWidth="1"/>
    <col min="6667" max="6667" width="8.42578125" style="229" customWidth="1"/>
    <col min="6668" max="6668" width="6.5703125" style="229" customWidth="1"/>
    <col min="6669" max="6669" width="8.140625" style="229" customWidth="1"/>
    <col min="6670" max="6670" width="7.7109375" style="229" customWidth="1"/>
    <col min="6671" max="6671" width="8.85546875" style="229" customWidth="1"/>
    <col min="6672" max="6672" width="6.7109375" style="229" customWidth="1"/>
    <col min="6673" max="6673" width="7" style="229" customWidth="1"/>
    <col min="6674" max="6674" width="7.85546875" style="229" customWidth="1"/>
    <col min="6675" max="6675" width="12" style="229" customWidth="1"/>
    <col min="6676" max="6677" width="5.5703125" style="229" customWidth="1"/>
    <col min="6678" max="6678" width="10.140625" style="229" customWidth="1"/>
    <col min="6679" max="6912" width="9.140625" style="229"/>
    <col min="6913" max="6913" width="3" style="229" customWidth="1"/>
    <col min="6914" max="6914" width="3.7109375" style="229" customWidth="1"/>
    <col min="6915" max="6915" width="3.85546875" style="229" customWidth="1"/>
    <col min="6916" max="6916" width="21.140625" style="229" customWidth="1"/>
    <col min="6917" max="6917" width="9.7109375" style="229" customWidth="1"/>
    <col min="6918" max="6918" width="0" style="229" hidden="1" customWidth="1"/>
    <col min="6919" max="6919" width="7.7109375" style="229" customWidth="1"/>
    <col min="6920" max="6920" width="6" style="229" customWidth="1"/>
    <col min="6921" max="6921" width="7.28515625" style="229" customWidth="1"/>
    <col min="6922" max="6922" width="7.140625" style="229" customWidth="1"/>
    <col min="6923" max="6923" width="8.42578125" style="229" customWidth="1"/>
    <col min="6924" max="6924" width="6.5703125" style="229" customWidth="1"/>
    <col min="6925" max="6925" width="8.140625" style="229" customWidth="1"/>
    <col min="6926" max="6926" width="7.7109375" style="229" customWidth="1"/>
    <col min="6927" max="6927" width="8.85546875" style="229" customWidth="1"/>
    <col min="6928" max="6928" width="6.7109375" style="229" customWidth="1"/>
    <col min="6929" max="6929" width="7" style="229" customWidth="1"/>
    <col min="6930" max="6930" width="7.85546875" style="229" customWidth="1"/>
    <col min="6931" max="6931" width="12" style="229" customWidth="1"/>
    <col min="6932" max="6933" width="5.5703125" style="229" customWidth="1"/>
    <col min="6934" max="6934" width="10.140625" style="229" customWidth="1"/>
    <col min="6935" max="7168" width="9.140625" style="229"/>
    <col min="7169" max="7169" width="3" style="229" customWidth="1"/>
    <col min="7170" max="7170" width="3.7109375" style="229" customWidth="1"/>
    <col min="7171" max="7171" width="3.85546875" style="229" customWidth="1"/>
    <col min="7172" max="7172" width="21.140625" style="229" customWidth="1"/>
    <col min="7173" max="7173" width="9.7109375" style="229" customWidth="1"/>
    <col min="7174" max="7174" width="0" style="229" hidden="1" customWidth="1"/>
    <col min="7175" max="7175" width="7.7109375" style="229" customWidth="1"/>
    <col min="7176" max="7176" width="6" style="229" customWidth="1"/>
    <col min="7177" max="7177" width="7.28515625" style="229" customWidth="1"/>
    <col min="7178" max="7178" width="7.140625" style="229" customWidth="1"/>
    <col min="7179" max="7179" width="8.42578125" style="229" customWidth="1"/>
    <col min="7180" max="7180" width="6.5703125" style="229" customWidth="1"/>
    <col min="7181" max="7181" width="8.140625" style="229" customWidth="1"/>
    <col min="7182" max="7182" width="7.7109375" style="229" customWidth="1"/>
    <col min="7183" max="7183" width="8.85546875" style="229" customWidth="1"/>
    <col min="7184" max="7184" width="6.7109375" style="229" customWidth="1"/>
    <col min="7185" max="7185" width="7" style="229" customWidth="1"/>
    <col min="7186" max="7186" width="7.85546875" style="229" customWidth="1"/>
    <col min="7187" max="7187" width="12" style="229" customWidth="1"/>
    <col min="7188" max="7189" width="5.5703125" style="229" customWidth="1"/>
    <col min="7190" max="7190" width="10.140625" style="229" customWidth="1"/>
    <col min="7191" max="7424" width="9.140625" style="229"/>
    <col min="7425" max="7425" width="3" style="229" customWidth="1"/>
    <col min="7426" max="7426" width="3.7109375" style="229" customWidth="1"/>
    <col min="7427" max="7427" width="3.85546875" style="229" customWidth="1"/>
    <col min="7428" max="7428" width="21.140625" style="229" customWidth="1"/>
    <col min="7429" max="7429" width="9.7109375" style="229" customWidth="1"/>
    <col min="7430" max="7430" width="0" style="229" hidden="1" customWidth="1"/>
    <col min="7431" max="7431" width="7.7109375" style="229" customWidth="1"/>
    <col min="7432" max="7432" width="6" style="229" customWidth="1"/>
    <col min="7433" max="7433" width="7.28515625" style="229" customWidth="1"/>
    <col min="7434" max="7434" width="7.140625" style="229" customWidth="1"/>
    <col min="7435" max="7435" width="8.42578125" style="229" customWidth="1"/>
    <col min="7436" max="7436" width="6.5703125" style="229" customWidth="1"/>
    <col min="7437" max="7437" width="8.140625" style="229" customWidth="1"/>
    <col min="7438" max="7438" width="7.7109375" style="229" customWidth="1"/>
    <col min="7439" max="7439" width="8.85546875" style="229" customWidth="1"/>
    <col min="7440" max="7440" width="6.7109375" style="229" customWidth="1"/>
    <col min="7441" max="7441" width="7" style="229" customWidth="1"/>
    <col min="7442" max="7442" width="7.85546875" style="229" customWidth="1"/>
    <col min="7443" max="7443" width="12" style="229" customWidth="1"/>
    <col min="7444" max="7445" width="5.5703125" style="229" customWidth="1"/>
    <col min="7446" max="7446" width="10.140625" style="229" customWidth="1"/>
    <col min="7447" max="7680" width="9.140625" style="229"/>
    <col min="7681" max="7681" width="3" style="229" customWidth="1"/>
    <col min="7682" max="7682" width="3.7109375" style="229" customWidth="1"/>
    <col min="7683" max="7683" width="3.85546875" style="229" customWidth="1"/>
    <col min="7684" max="7684" width="21.140625" style="229" customWidth="1"/>
    <col min="7685" max="7685" width="9.7109375" style="229" customWidth="1"/>
    <col min="7686" max="7686" width="0" style="229" hidden="1" customWidth="1"/>
    <col min="7687" max="7687" width="7.7109375" style="229" customWidth="1"/>
    <col min="7688" max="7688" width="6" style="229" customWidth="1"/>
    <col min="7689" max="7689" width="7.28515625" style="229" customWidth="1"/>
    <col min="7690" max="7690" width="7.140625" style="229" customWidth="1"/>
    <col min="7691" max="7691" width="8.42578125" style="229" customWidth="1"/>
    <col min="7692" max="7692" width="6.5703125" style="229" customWidth="1"/>
    <col min="7693" max="7693" width="8.140625" style="229" customWidth="1"/>
    <col min="7694" max="7694" width="7.7109375" style="229" customWidth="1"/>
    <col min="7695" max="7695" width="8.85546875" style="229" customWidth="1"/>
    <col min="7696" max="7696" width="6.7109375" style="229" customWidth="1"/>
    <col min="7697" max="7697" width="7" style="229" customWidth="1"/>
    <col min="7698" max="7698" width="7.85546875" style="229" customWidth="1"/>
    <col min="7699" max="7699" width="12" style="229" customWidth="1"/>
    <col min="7700" max="7701" width="5.5703125" style="229" customWidth="1"/>
    <col min="7702" max="7702" width="10.140625" style="229" customWidth="1"/>
    <col min="7703" max="7936" width="9.140625" style="229"/>
    <col min="7937" max="7937" width="3" style="229" customWidth="1"/>
    <col min="7938" max="7938" width="3.7109375" style="229" customWidth="1"/>
    <col min="7939" max="7939" width="3.85546875" style="229" customWidth="1"/>
    <col min="7940" max="7940" width="21.140625" style="229" customWidth="1"/>
    <col min="7941" max="7941" width="9.7109375" style="229" customWidth="1"/>
    <col min="7942" max="7942" width="0" style="229" hidden="1" customWidth="1"/>
    <col min="7943" max="7943" width="7.7109375" style="229" customWidth="1"/>
    <col min="7944" max="7944" width="6" style="229" customWidth="1"/>
    <col min="7945" max="7945" width="7.28515625" style="229" customWidth="1"/>
    <col min="7946" max="7946" width="7.140625" style="229" customWidth="1"/>
    <col min="7947" max="7947" width="8.42578125" style="229" customWidth="1"/>
    <col min="7948" max="7948" width="6.5703125" style="229" customWidth="1"/>
    <col min="7949" max="7949" width="8.140625" style="229" customWidth="1"/>
    <col min="7950" max="7950" width="7.7109375" style="229" customWidth="1"/>
    <col min="7951" max="7951" width="8.85546875" style="229" customWidth="1"/>
    <col min="7952" max="7952" width="6.7109375" style="229" customWidth="1"/>
    <col min="7953" max="7953" width="7" style="229" customWidth="1"/>
    <col min="7954" max="7954" width="7.85546875" style="229" customWidth="1"/>
    <col min="7955" max="7955" width="12" style="229" customWidth="1"/>
    <col min="7956" max="7957" width="5.5703125" style="229" customWidth="1"/>
    <col min="7958" max="7958" width="10.140625" style="229" customWidth="1"/>
    <col min="7959" max="8192" width="9.140625" style="229"/>
    <col min="8193" max="8193" width="3" style="229" customWidth="1"/>
    <col min="8194" max="8194" width="3.7109375" style="229" customWidth="1"/>
    <col min="8195" max="8195" width="3.85546875" style="229" customWidth="1"/>
    <col min="8196" max="8196" width="21.140625" style="229" customWidth="1"/>
    <col min="8197" max="8197" width="9.7109375" style="229" customWidth="1"/>
    <col min="8198" max="8198" width="0" style="229" hidden="1" customWidth="1"/>
    <col min="8199" max="8199" width="7.7109375" style="229" customWidth="1"/>
    <col min="8200" max="8200" width="6" style="229" customWidth="1"/>
    <col min="8201" max="8201" width="7.28515625" style="229" customWidth="1"/>
    <col min="8202" max="8202" width="7.140625" style="229" customWidth="1"/>
    <col min="8203" max="8203" width="8.42578125" style="229" customWidth="1"/>
    <col min="8204" max="8204" width="6.5703125" style="229" customWidth="1"/>
    <col min="8205" max="8205" width="8.140625" style="229" customWidth="1"/>
    <col min="8206" max="8206" width="7.7109375" style="229" customWidth="1"/>
    <col min="8207" max="8207" width="8.85546875" style="229" customWidth="1"/>
    <col min="8208" max="8208" width="6.7109375" style="229" customWidth="1"/>
    <col min="8209" max="8209" width="7" style="229" customWidth="1"/>
    <col min="8210" max="8210" width="7.85546875" style="229" customWidth="1"/>
    <col min="8211" max="8211" width="12" style="229" customWidth="1"/>
    <col min="8212" max="8213" width="5.5703125" style="229" customWidth="1"/>
    <col min="8214" max="8214" width="10.140625" style="229" customWidth="1"/>
    <col min="8215" max="8448" width="9.140625" style="229"/>
    <col min="8449" max="8449" width="3" style="229" customWidth="1"/>
    <col min="8450" max="8450" width="3.7109375" style="229" customWidth="1"/>
    <col min="8451" max="8451" width="3.85546875" style="229" customWidth="1"/>
    <col min="8452" max="8452" width="21.140625" style="229" customWidth="1"/>
    <col min="8453" max="8453" width="9.7109375" style="229" customWidth="1"/>
    <col min="8454" max="8454" width="0" style="229" hidden="1" customWidth="1"/>
    <col min="8455" max="8455" width="7.7109375" style="229" customWidth="1"/>
    <col min="8456" max="8456" width="6" style="229" customWidth="1"/>
    <col min="8457" max="8457" width="7.28515625" style="229" customWidth="1"/>
    <col min="8458" max="8458" width="7.140625" style="229" customWidth="1"/>
    <col min="8459" max="8459" width="8.42578125" style="229" customWidth="1"/>
    <col min="8460" max="8460" width="6.5703125" style="229" customWidth="1"/>
    <col min="8461" max="8461" width="8.140625" style="229" customWidth="1"/>
    <col min="8462" max="8462" width="7.7109375" style="229" customWidth="1"/>
    <col min="8463" max="8463" width="8.85546875" style="229" customWidth="1"/>
    <col min="8464" max="8464" width="6.7109375" style="229" customWidth="1"/>
    <col min="8465" max="8465" width="7" style="229" customWidth="1"/>
    <col min="8466" max="8466" width="7.85546875" style="229" customWidth="1"/>
    <col min="8467" max="8467" width="12" style="229" customWidth="1"/>
    <col min="8468" max="8469" width="5.5703125" style="229" customWidth="1"/>
    <col min="8470" max="8470" width="10.140625" style="229" customWidth="1"/>
    <col min="8471" max="8704" width="9.140625" style="229"/>
    <col min="8705" max="8705" width="3" style="229" customWidth="1"/>
    <col min="8706" max="8706" width="3.7109375" style="229" customWidth="1"/>
    <col min="8707" max="8707" width="3.85546875" style="229" customWidth="1"/>
    <col min="8708" max="8708" width="21.140625" style="229" customWidth="1"/>
    <col min="8709" max="8709" width="9.7109375" style="229" customWidth="1"/>
    <col min="8710" max="8710" width="0" style="229" hidden="1" customWidth="1"/>
    <col min="8711" max="8711" width="7.7109375" style="229" customWidth="1"/>
    <col min="8712" max="8712" width="6" style="229" customWidth="1"/>
    <col min="8713" max="8713" width="7.28515625" style="229" customWidth="1"/>
    <col min="8714" max="8714" width="7.140625" style="229" customWidth="1"/>
    <col min="8715" max="8715" width="8.42578125" style="229" customWidth="1"/>
    <col min="8716" max="8716" width="6.5703125" style="229" customWidth="1"/>
    <col min="8717" max="8717" width="8.140625" style="229" customWidth="1"/>
    <col min="8718" max="8718" width="7.7109375" style="229" customWidth="1"/>
    <col min="8719" max="8719" width="8.85546875" style="229" customWidth="1"/>
    <col min="8720" max="8720" width="6.7109375" style="229" customWidth="1"/>
    <col min="8721" max="8721" width="7" style="229" customWidth="1"/>
    <col min="8722" max="8722" width="7.85546875" style="229" customWidth="1"/>
    <col min="8723" max="8723" width="12" style="229" customWidth="1"/>
    <col min="8724" max="8725" width="5.5703125" style="229" customWidth="1"/>
    <col min="8726" max="8726" width="10.140625" style="229" customWidth="1"/>
    <col min="8727" max="8960" width="9.140625" style="229"/>
    <col min="8961" max="8961" width="3" style="229" customWidth="1"/>
    <col min="8962" max="8962" width="3.7109375" style="229" customWidth="1"/>
    <col min="8963" max="8963" width="3.85546875" style="229" customWidth="1"/>
    <col min="8964" max="8964" width="21.140625" style="229" customWidth="1"/>
    <col min="8965" max="8965" width="9.7109375" style="229" customWidth="1"/>
    <col min="8966" max="8966" width="0" style="229" hidden="1" customWidth="1"/>
    <col min="8967" max="8967" width="7.7109375" style="229" customWidth="1"/>
    <col min="8968" max="8968" width="6" style="229" customWidth="1"/>
    <col min="8969" max="8969" width="7.28515625" style="229" customWidth="1"/>
    <col min="8970" max="8970" width="7.140625" style="229" customWidth="1"/>
    <col min="8971" max="8971" width="8.42578125" style="229" customWidth="1"/>
    <col min="8972" max="8972" width="6.5703125" style="229" customWidth="1"/>
    <col min="8973" max="8973" width="8.140625" style="229" customWidth="1"/>
    <col min="8974" max="8974" width="7.7109375" style="229" customWidth="1"/>
    <col min="8975" max="8975" width="8.85546875" style="229" customWidth="1"/>
    <col min="8976" max="8976" width="6.7109375" style="229" customWidth="1"/>
    <col min="8977" max="8977" width="7" style="229" customWidth="1"/>
    <col min="8978" max="8978" width="7.85546875" style="229" customWidth="1"/>
    <col min="8979" max="8979" width="12" style="229" customWidth="1"/>
    <col min="8980" max="8981" width="5.5703125" style="229" customWidth="1"/>
    <col min="8982" max="8982" width="10.140625" style="229" customWidth="1"/>
    <col min="8983" max="9216" width="9.140625" style="229"/>
    <col min="9217" max="9217" width="3" style="229" customWidth="1"/>
    <col min="9218" max="9218" width="3.7109375" style="229" customWidth="1"/>
    <col min="9219" max="9219" width="3.85546875" style="229" customWidth="1"/>
    <col min="9220" max="9220" width="21.140625" style="229" customWidth="1"/>
    <col min="9221" max="9221" width="9.7109375" style="229" customWidth="1"/>
    <col min="9222" max="9222" width="0" style="229" hidden="1" customWidth="1"/>
    <col min="9223" max="9223" width="7.7109375" style="229" customWidth="1"/>
    <col min="9224" max="9224" width="6" style="229" customWidth="1"/>
    <col min="9225" max="9225" width="7.28515625" style="229" customWidth="1"/>
    <col min="9226" max="9226" width="7.140625" style="229" customWidth="1"/>
    <col min="9227" max="9227" width="8.42578125" style="229" customWidth="1"/>
    <col min="9228" max="9228" width="6.5703125" style="229" customWidth="1"/>
    <col min="9229" max="9229" width="8.140625" style="229" customWidth="1"/>
    <col min="9230" max="9230" width="7.7109375" style="229" customWidth="1"/>
    <col min="9231" max="9231" width="8.85546875" style="229" customWidth="1"/>
    <col min="9232" max="9232" width="6.7109375" style="229" customWidth="1"/>
    <col min="9233" max="9233" width="7" style="229" customWidth="1"/>
    <col min="9234" max="9234" width="7.85546875" style="229" customWidth="1"/>
    <col min="9235" max="9235" width="12" style="229" customWidth="1"/>
    <col min="9236" max="9237" width="5.5703125" style="229" customWidth="1"/>
    <col min="9238" max="9238" width="10.140625" style="229" customWidth="1"/>
    <col min="9239" max="9472" width="9.140625" style="229"/>
    <col min="9473" max="9473" width="3" style="229" customWidth="1"/>
    <col min="9474" max="9474" width="3.7109375" style="229" customWidth="1"/>
    <col min="9475" max="9475" width="3.85546875" style="229" customWidth="1"/>
    <col min="9476" max="9476" width="21.140625" style="229" customWidth="1"/>
    <col min="9477" max="9477" width="9.7109375" style="229" customWidth="1"/>
    <col min="9478" max="9478" width="0" style="229" hidden="1" customWidth="1"/>
    <col min="9479" max="9479" width="7.7109375" style="229" customWidth="1"/>
    <col min="9480" max="9480" width="6" style="229" customWidth="1"/>
    <col min="9481" max="9481" width="7.28515625" style="229" customWidth="1"/>
    <col min="9482" max="9482" width="7.140625" style="229" customWidth="1"/>
    <col min="9483" max="9483" width="8.42578125" style="229" customWidth="1"/>
    <col min="9484" max="9484" width="6.5703125" style="229" customWidth="1"/>
    <col min="9485" max="9485" width="8.140625" style="229" customWidth="1"/>
    <col min="9486" max="9486" width="7.7109375" style="229" customWidth="1"/>
    <col min="9487" max="9487" width="8.85546875" style="229" customWidth="1"/>
    <col min="9488" max="9488" width="6.7109375" style="229" customWidth="1"/>
    <col min="9489" max="9489" width="7" style="229" customWidth="1"/>
    <col min="9490" max="9490" width="7.85546875" style="229" customWidth="1"/>
    <col min="9491" max="9491" width="12" style="229" customWidth="1"/>
    <col min="9492" max="9493" width="5.5703125" style="229" customWidth="1"/>
    <col min="9494" max="9494" width="10.140625" style="229" customWidth="1"/>
    <col min="9495" max="9728" width="9.140625" style="229"/>
    <col min="9729" max="9729" width="3" style="229" customWidth="1"/>
    <col min="9730" max="9730" width="3.7109375" style="229" customWidth="1"/>
    <col min="9731" max="9731" width="3.85546875" style="229" customWidth="1"/>
    <col min="9732" max="9732" width="21.140625" style="229" customWidth="1"/>
    <col min="9733" max="9733" width="9.7109375" style="229" customWidth="1"/>
    <col min="9734" max="9734" width="0" style="229" hidden="1" customWidth="1"/>
    <col min="9735" max="9735" width="7.7109375" style="229" customWidth="1"/>
    <col min="9736" max="9736" width="6" style="229" customWidth="1"/>
    <col min="9737" max="9737" width="7.28515625" style="229" customWidth="1"/>
    <col min="9738" max="9738" width="7.140625" style="229" customWidth="1"/>
    <col min="9739" max="9739" width="8.42578125" style="229" customWidth="1"/>
    <col min="9740" max="9740" width="6.5703125" style="229" customWidth="1"/>
    <col min="9741" max="9741" width="8.140625" style="229" customWidth="1"/>
    <col min="9742" max="9742" width="7.7109375" style="229" customWidth="1"/>
    <col min="9743" max="9743" width="8.85546875" style="229" customWidth="1"/>
    <col min="9744" max="9744" width="6.7109375" style="229" customWidth="1"/>
    <col min="9745" max="9745" width="7" style="229" customWidth="1"/>
    <col min="9746" max="9746" width="7.85546875" style="229" customWidth="1"/>
    <col min="9747" max="9747" width="12" style="229" customWidth="1"/>
    <col min="9748" max="9749" width="5.5703125" style="229" customWidth="1"/>
    <col min="9750" max="9750" width="10.140625" style="229" customWidth="1"/>
    <col min="9751" max="9984" width="9.140625" style="229"/>
    <col min="9985" max="9985" width="3" style="229" customWidth="1"/>
    <col min="9986" max="9986" width="3.7109375" style="229" customWidth="1"/>
    <col min="9987" max="9987" width="3.85546875" style="229" customWidth="1"/>
    <col min="9988" max="9988" width="21.140625" style="229" customWidth="1"/>
    <col min="9989" max="9989" width="9.7109375" style="229" customWidth="1"/>
    <col min="9990" max="9990" width="0" style="229" hidden="1" customWidth="1"/>
    <col min="9991" max="9991" width="7.7109375" style="229" customWidth="1"/>
    <col min="9992" max="9992" width="6" style="229" customWidth="1"/>
    <col min="9993" max="9993" width="7.28515625" style="229" customWidth="1"/>
    <col min="9994" max="9994" width="7.140625" style="229" customWidth="1"/>
    <col min="9995" max="9995" width="8.42578125" style="229" customWidth="1"/>
    <col min="9996" max="9996" width="6.5703125" style="229" customWidth="1"/>
    <col min="9997" max="9997" width="8.140625" style="229" customWidth="1"/>
    <col min="9998" max="9998" width="7.7109375" style="229" customWidth="1"/>
    <col min="9999" max="9999" width="8.85546875" style="229" customWidth="1"/>
    <col min="10000" max="10000" width="6.7109375" style="229" customWidth="1"/>
    <col min="10001" max="10001" width="7" style="229" customWidth="1"/>
    <col min="10002" max="10002" width="7.85546875" style="229" customWidth="1"/>
    <col min="10003" max="10003" width="12" style="229" customWidth="1"/>
    <col min="10004" max="10005" width="5.5703125" style="229" customWidth="1"/>
    <col min="10006" max="10006" width="10.140625" style="229" customWidth="1"/>
    <col min="10007" max="10240" width="9.140625" style="229"/>
    <col min="10241" max="10241" width="3" style="229" customWidth="1"/>
    <col min="10242" max="10242" width="3.7109375" style="229" customWidth="1"/>
    <col min="10243" max="10243" width="3.85546875" style="229" customWidth="1"/>
    <col min="10244" max="10244" width="21.140625" style="229" customWidth="1"/>
    <col min="10245" max="10245" width="9.7109375" style="229" customWidth="1"/>
    <col min="10246" max="10246" width="0" style="229" hidden="1" customWidth="1"/>
    <col min="10247" max="10247" width="7.7109375" style="229" customWidth="1"/>
    <col min="10248" max="10248" width="6" style="229" customWidth="1"/>
    <col min="10249" max="10249" width="7.28515625" style="229" customWidth="1"/>
    <col min="10250" max="10250" width="7.140625" style="229" customWidth="1"/>
    <col min="10251" max="10251" width="8.42578125" style="229" customWidth="1"/>
    <col min="10252" max="10252" width="6.5703125" style="229" customWidth="1"/>
    <col min="10253" max="10253" width="8.140625" style="229" customWidth="1"/>
    <col min="10254" max="10254" width="7.7109375" style="229" customWidth="1"/>
    <col min="10255" max="10255" width="8.85546875" style="229" customWidth="1"/>
    <col min="10256" max="10256" width="6.7109375" style="229" customWidth="1"/>
    <col min="10257" max="10257" width="7" style="229" customWidth="1"/>
    <col min="10258" max="10258" width="7.85546875" style="229" customWidth="1"/>
    <col min="10259" max="10259" width="12" style="229" customWidth="1"/>
    <col min="10260" max="10261" width="5.5703125" style="229" customWidth="1"/>
    <col min="10262" max="10262" width="10.140625" style="229" customWidth="1"/>
    <col min="10263" max="10496" width="9.140625" style="229"/>
    <col min="10497" max="10497" width="3" style="229" customWidth="1"/>
    <col min="10498" max="10498" width="3.7109375" style="229" customWidth="1"/>
    <col min="10499" max="10499" width="3.85546875" style="229" customWidth="1"/>
    <col min="10500" max="10500" width="21.140625" style="229" customWidth="1"/>
    <col min="10501" max="10501" width="9.7109375" style="229" customWidth="1"/>
    <col min="10502" max="10502" width="0" style="229" hidden="1" customWidth="1"/>
    <col min="10503" max="10503" width="7.7109375" style="229" customWidth="1"/>
    <col min="10504" max="10504" width="6" style="229" customWidth="1"/>
    <col min="10505" max="10505" width="7.28515625" style="229" customWidth="1"/>
    <col min="10506" max="10506" width="7.140625" style="229" customWidth="1"/>
    <col min="10507" max="10507" width="8.42578125" style="229" customWidth="1"/>
    <col min="10508" max="10508" width="6.5703125" style="229" customWidth="1"/>
    <col min="10509" max="10509" width="8.140625" style="229" customWidth="1"/>
    <col min="10510" max="10510" width="7.7109375" style="229" customWidth="1"/>
    <col min="10511" max="10511" width="8.85546875" style="229" customWidth="1"/>
    <col min="10512" max="10512" width="6.7109375" style="229" customWidth="1"/>
    <col min="10513" max="10513" width="7" style="229" customWidth="1"/>
    <col min="10514" max="10514" width="7.85546875" style="229" customWidth="1"/>
    <col min="10515" max="10515" width="12" style="229" customWidth="1"/>
    <col min="10516" max="10517" width="5.5703125" style="229" customWidth="1"/>
    <col min="10518" max="10518" width="10.140625" style="229" customWidth="1"/>
    <col min="10519" max="10752" width="9.140625" style="229"/>
    <col min="10753" max="10753" width="3" style="229" customWidth="1"/>
    <col min="10754" max="10754" width="3.7109375" style="229" customWidth="1"/>
    <col min="10755" max="10755" width="3.85546875" style="229" customWidth="1"/>
    <col min="10756" max="10756" width="21.140625" style="229" customWidth="1"/>
    <col min="10757" max="10757" width="9.7109375" style="229" customWidth="1"/>
    <col min="10758" max="10758" width="0" style="229" hidden="1" customWidth="1"/>
    <col min="10759" max="10759" width="7.7109375" style="229" customWidth="1"/>
    <col min="10760" max="10760" width="6" style="229" customWidth="1"/>
    <col min="10761" max="10761" width="7.28515625" style="229" customWidth="1"/>
    <col min="10762" max="10762" width="7.140625" style="229" customWidth="1"/>
    <col min="10763" max="10763" width="8.42578125" style="229" customWidth="1"/>
    <col min="10764" max="10764" width="6.5703125" style="229" customWidth="1"/>
    <col min="10765" max="10765" width="8.140625" style="229" customWidth="1"/>
    <col min="10766" max="10766" width="7.7109375" style="229" customWidth="1"/>
    <col min="10767" max="10767" width="8.85546875" style="229" customWidth="1"/>
    <col min="10768" max="10768" width="6.7109375" style="229" customWidth="1"/>
    <col min="10769" max="10769" width="7" style="229" customWidth="1"/>
    <col min="10770" max="10770" width="7.85546875" style="229" customWidth="1"/>
    <col min="10771" max="10771" width="12" style="229" customWidth="1"/>
    <col min="10772" max="10773" width="5.5703125" style="229" customWidth="1"/>
    <col min="10774" max="10774" width="10.140625" style="229" customWidth="1"/>
    <col min="10775" max="11008" width="9.140625" style="229"/>
    <col min="11009" max="11009" width="3" style="229" customWidth="1"/>
    <col min="11010" max="11010" width="3.7109375" style="229" customWidth="1"/>
    <col min="11011" max="11011" width="3.85546875" style="229" customWidth="1"/>
    <col min="11012" max="11012" width="21.140625" style="229" customWidth="1"/>
    <col min="11013" max="11013" width="9.7109375" style="229" customWidth="1"/>
    <col min="11014" max="11014" width="0" style="229" hidden="1" customWidth="1"/>
    <col min="11015" max="11015" width="7.7109375" style="229" customWidth="1"/>
    <col min="11016" max="11016" width="6" style="229" customWidth="1"/>
    <col min="11017" max="11017" width="7.28515625" style="229" customWidth="1"/>
    <col min="11018" max="11018" width="7.140625" style="229" customWidth="1"/>
    <col min="11019" max="11019" width="8.42578125" style="229" customWidth="1"/>
    <col min="11020" max="11020" width="6.5703125" style="229" customWidth="1"/>
    <col min="11021" max="11021" width="8.140625" style="229" customWidth="1"/>
    <col min="11022" max="11022" width="7.7109375" style="229" customWidth="1"/>
    <col min="11023" max="11023" width="8.85546875" style="229" customWidth="1"/>
    <col min="11024" max="11024" width="6.7109375" style="229" customWidth="1"/>
    <col min="11025" max="11025" width="7" style="229" customWidth="1"/>
    <col min="11026" max="11026" width="7.85546875" style="229" customWidth="1"/>
    <col min="11027" max="11027" width="12" style="229" customWidth="1"/>
    <col min="11028" max="11029" width="5.5703125" style="229" customWidth="1"/>
    <col min="11030" max="11030" width="10.140625" style="229" customWidth="1"/>
    <col min="11031" max="11264" width="9.140625" style="229"/>
    <col min="11265" max="11265" width="3" style="229" customWidth="1"/>
    <col min="11266" max="11266" width="3.7109375" style="229" customWidth="1"/>
    <col min="11267" max="11267" width="3.85546875" style="229" customWidth="1"/>
    <col min="11268" max="11268" width="21.140625" style="229" customWidth="1"/>
    <col min="11269" max="11269" width="9.7109375" style="229" customWidth="1"/>
    <col min="11270" max="11270" width="0" style="229" hidden="1" customWidth="1"/>
    <col min="11271" max="11271" width="7.7109375" style="229" customWidth="1"/>
    <col min="11272" max="11272" width="6" style="229" customWidth="1"/>
    <col min="11273" max="11273" width="7.28515625" style="229" customWidth="1"/>
    <col min="11274" max="11274" width="7.140625" style="229" customWidth="1"/>
    <col min="11275" max="11275" width="8.42578125" style="229" customWidth="1"/>
    <col min="11276" max="11276" width="6.5703125" style="229" customWidth="1"/>
    <col min="11277" max="11277" width="8.140625" style="229" customWidth="1"/>
    <col min="11278" max="11278" width="7.7109375" style="229" customWidth="1"/>
    <col min="11279" max="11279" width="8.85546875" style="229" customWidth="1"/>
    <col min="11280" max="11280" width="6.7109375" style="229" customWidth="1"/>
    <col min="11281" max="11281" width="7" style="229" customWidth="1"/>
    <col min="11282" max="11282" width="7.85546875" style="229" customWidth="1"/>
    <col min="11283" max="11283" width="12" style="229" customWidth="1"/>
    <col min="11284" max="11285" width="5.5703125" style="229" customWidth="1"/>
    <col min="11286" max="11286" width="10.140625" style="229" customWidth="1"/>
    <col min="11287" max="11520" width="9.140625" style="229"/>
    <col min="11521" max="11521" width="3" style="229" customWidth="1"/>
    <col min="11522" max="11522" width="3.7109375" style="229" customWidth="1"/>
    <col min="11523" max="11523" width="3.85546875" style="229" customWidth="1"/>
    <col min="11524" max="11524" width="21.140625" style="229" customWidth="1"/>
    <col min="11525" max="11525" width="9.7109375" style="229" customWidth="1"/>
    <col min="11526" max="11526" width="0" style="229" hidden="1" customWidth="1"/>
    <col min="11527" max="11527" width="7.7109375" style="229" customWidth="1"/>
    <col min="11528" max="11528" width="6" style="229" customWidth="1"/>
    <col min="11529" max="11529" width="7.28515625" style="229" customWidth="1"/>
    <col min="11530" max="11530" width="7.140625" style="229" customWidth="1"/>
    <col min="11531" max="11531" width="8.42578125" style="229" customWidth="1"/>
    <col min="11532" max="11532" width="6.5703125" style="229" customWidth="1"/>
    <col min="11533" max="11533" width="8.140625" style="229" customWidth="1"/>
    <col min="11534" max="11534" width="7.7109375" style="229" customWidth="1"/>
    <col min="11535" max="11535" width="8.85546875" style="229" customWidth="1"/>
    <col min="11536" max="11536" width="6.7109375" style="229" customWidth="1"/>
    <col min="11537" max="11537" width="7" style="229" customWidth="1"/>
    <col min="11538" max="11538" width="7.85546875" style="229" customWidth="1"/>
    <col min="11539" max="11539" width="12" style="229" customWidth="1"/>
    <col min="11540" max="11541" width="5.5703125" style="229" customWidth="1"/>
    <col min="11542" max="11542" width="10.140625" style="229" customWidth="1"/>
    <col min="11543" max="11776" width="9.140625" style="229"/>
    <col min="11777" max="11777" width="3" style="229" customWidth="1"/>
    <col min="11778" max="11778" width="3.7109375" style="229" customWidth="1"/>
    <col min="11779" max="11779" width="3.85546875" style="229" customWidth="1"/>
    <col min="11780" max="11780" width="21.140625" style="229" customWidth="1"/>
    <col min="11781" max="11781" width="9.7109375" style="229" customWidth="1"/>
    <col min="11782" max="11782" width="0" style="229" hidden="1" customWidth="1"/>
    <col min="11783" max="11783" width="7.7109375" style="229" customWidth="1"/>
    <col min="11784" max="11784" width="6" style="229" customWidth="1"/>
    <col min="11785" max="11785" width="7.28515625" style="229" customWidth="1"/>
    <col min="11786" max="11786" width="7.140625" style="229" customWidth="1"/>
    <col min="11787" max="11787" width="8.42578125" style="229" customWidth="1"/>
    <col min="11788" max="11788" width="6.5703125" style="229" customWidth="1"/>
    <col min="11789" max="11789" width="8.140625" style="229" customWidth="1"/>
    <col min="11790" max="11790" width="7.7109375" style="229" customWidth="1"/>
    <col min="11791" max="11791" width="8.85546875" style="229" customWidth="1"/>
    <col min="11792" max="11792" width="6.7109375" style="229" customWidth="1"/>
    <col min="11793" max="11793" width="7" style="229" customWidth="1"/>
    <col min="11794" max="11794" width="7.85546875" style="229" customWidth="1"/>
    <col min="11795" max="11795" width="12" style="229" customWidth="1"/>
    <col min="11796" max="11797" width="5.5703125" style="229" customWidth="1"/>
    <col min="11798" max="11798" width="10.140625" style="229" customWidth="1"/>
    <col min="11799" max="12032" width="9.140625" style="229"/>
    <col min="12033" max="12033" width="3" style="229" customWidth="1"/>
    <col min="12034" max="12034" width="3.7109375" style="229" customWidth="1"/>
    <col min="12035" max="12035" width="3.85546875" style="229" customWidth="1"/>
    <col min="12036" max="12036" width="21.140625" style="229" customWidth="1"/>
    <col min="12037" max="12037" width="9.7109375" style="229" customWidth="1"/>
    <col min="12038" max="12038" width="0" style="229" hidden="1" customWidth="1"/>
    <col min="12039" max="12039" width="7.7109375" style="229" customWidth="1"/>
    <col min="12040" max="12040" width="6" style="229" customWidth="1"/>
    <col min="12041" max="12041" width="7.28515625" style="229" customWidth="1"/>
    <col min="12042" max="12042" width="7.140625" style="229" customWidth="1"/>
    <col min="12043" max="12043" width="8.42578125" style="229" customWidth="1"/>
    <col min="12044" max="12044" width="6.5703125" style="229" customWidth="1"/>
    <col min="12045" max="12045" width="8.140625" style="229" customWidth="1"/>
    <col min="12046" max="12046" width="7.7109375" style="229" customWidth="1"/>
    <col min="12047" max="12047" width="8.85546875" style="229" customWidth="1"/>
    <col min="12048" max="12048" width="6.7109375" style="229" customWidth="1"/>
    <col min="12049" max="12049" width="7" style="229" customWidth="1"/>
    <col min="12050" max="12050" width="7.85546875" style="229" customWidth="1"/>
    <col min="12051" max="12051" width="12" style="229" customWidth="1"/>
    <col min="12052" max="12053" width="5.5703125" style="229" customWidth="1"/>
    <col min="12054" max="12054" width="10.140625" style="229" customWidth="1"/>
    <col min="12055" max="12288" width="9.140625" style="229"/>
    <col min="12289" max="12289" width="3" style="229" customWidth="1"/>
    <col min="12290" max="12290" width="3.7109375" style="229" customWidth="1"/>
    <col min="12291" max="12291" width="3.85546875" style="229" customWidth="1"/>
    <col min="12292" max="12292" width="21.140625" style="229" customWidth="1"/>
    <col min="12293" max="12293" width="9.7109375" style="229" customWidth="1"/>
    <col min="12294" max="12294" width="0" style="229" hidden="1" customWidth="1"/>
    <col min="12295" max="12295" width="7.7109375" style="229" customWidth="1"/>
    <col min="12296" max="12296" width="6" style="229" customWidth="1"/>
    <col min="12297" max="12297" width="7.28515625" style="229" customWidth="1"/>
    <col min="12298" max="12298" width="7.140625" style="229" customWidth="1"/>
    <col min="12299" max="12299" width="8.42578125" style="229" customWidth="1"/>
    <col min="12300" max="12300" width="6.5703125" style="229" customWidth="1"/>
    <col min="12301" max="12301" width="8.140625" style="229" customWidth="1"/>
    <col min="12302" max="12302" width="7.7109375" style="229" customWidth="1"/>
    <col min="12303" max="12303" width="8.85546875" style="229" customWidth="1"/>
    <col min="12304" max="12304" width="6.7109375" style="229" customWidth="1"/>
    <col min="12305" max="12305" width="7" style="229" customWidth="1"/>
    <col min="12306" max="12306" width="7.85546875" style="229" customWidth="1"/>
    <col min="12307" max="12307" width="12" style="229" customWidth="1"/>
    <col min="12308" max="12309" width="5.5703125" style="229" customWidth="1"/>
    <col min="12310" max="12310" width="10.140625" style="229" customWidth="1"/>
    <col min="12311" max="12544" width="9.140625" style="229"/>
    <col min="12545" max="12545" width="3" style="229" customWidth="1"/>
    <col min="12546" max="12546" width="3.7109375" style="229" customWidth="1"/>
    <col min="12547" max="12547" width="3.85546875" style="229" customWidth="1"/>
    <col min="12548" max="12548" width="21.140625" style="229" customWidth="1"/>
    <col min="12549" max="12549" width="9.7109375" style="229" customWidth="1"/>
    <col min="12550" max="12550" width="0" style="229" hidden="1" customWidth="1"/>
    <col min="12551" max="12551" width="7.7109375" style="229" customWidth="1"/>
    <col min="12552" max="12552" width="6" style="229" customWidth="1"/>
    <col min="12553" max="12553" width="7.28515625" style="229" customWidth="1"/>
    <col min="12554" max="12554" width="7.140625" style="229" customWidth="1"/>
    <col min="12555" max="12555" width="8.42578125" style="229" customWidth="1"/>
    <col min="12556" max="12556" width="6.5703125" style="229" customWidth="1"/>
    <col min="12557" max="12557" width="8.140625" style="229" customWidth="1"/>
    <col min="12558" max="12558" width="7.7109375" style="229" customWidth="1"/>
    <col min="12559" max="12559" width="8.85546875" style="229" customWidth="1"/>
    <col min="12560" max="12560" width="6.7109375" style="229" customWidth="1"/>
    <col min="12561" max="12561" width="7" style="229" customWidth="1"/>
    <col min="12562" max="12562" width="7.85546875" style="229" customWidth="1"/>
    <col min="12563" max="12563" width="12" style="229" customWidth="1"/>
    <col min="12564" max="12565" width="5.5703125" style="229" customWidth="1"/>
    <col min="12566" max="12566" width="10.140625" style="229" customWidth="1"/>
    <col min="12567" max="12800" width="9.140625" style="229"/>
    <col min="12801" max="12801" width="3" style="229" customWidth="1"/>
    <col min="12802" max="12802" width="3.7109375" style="229" customWidth="1"/>
    <col min="12803" max="12803" width="3.85546875" style="229" customWidth="1"/>
    <col min="12804" max="12804" width="21.140625" style="229" customWidth="1"/>
    <col min="12805" max="12805" width="9.7109375" style="229" customWidth="1"/>
    <col min="12806" max="12806" width="0" style="229" hidden="1" customWidth="1"/>
    <col min="12807" max="12807" width="7.7109375" style="229" customWidth="1"/>
    <col min="12808" max="12808" width="6" style="229" customWidth="1"/>
    <col min="12809" max="12809" width="7.28515625" style="229" customWidth="1"/>
    <col min="12810" max="12810" width="7.140625" style="229" customWidth="1"/>
    <col min="12811" max="12811" width="8.42578125" style="229" customWidth="1"/>
    <col min="12812" max="12812" width="6.5703125" style="229" customWidth="1"/>
    <col min="12813" max="12813" width="8.140625" style="229" customWidth="1"/>
    <col min="12814" max="12814" width="7.7109375" style="229" customWidth="1"/>
    <col min="12815" max="12815" width="8.85546875" style="229" customWidth="1"/>
    <col min="12816" max="12816" width="6.7109375" style="229" customWidth="1"/>
    <col min="12817" max="12817" width="7" style="229" customWidth="1"/>
    <col min="12818" max="12818" width="7.85546875" style="229" customWidth="1"/>
    <col min="12819" max="12819" width="12" style="229" customWidth="1"/>
    <col min="12820" max="12821" width="5.5703125" style="229" customWidth="1"/>
    <col min="12822" max="12822" width="10.140625" style="229" customWidth="1"/>
    <col min="12823" max="13056" width="9.140625" style="229"/>
    <col min="13057" max="13057" width="3" style="229" customWidth="1"/>
    <col min="13058" max="13058" width="3.7109375" style="229" customWidth="1"/>
    <col min="13059" max="13059" width="3.85546875" style="229" customWidth="1"/>
    <col min="13060" max="13060" width="21.140625" style="229" customWidth="1"/>
    <col min="13061" max="13061" width="9.7109375" style="229" customWidth="1"/>
    <col min="13062" max="13062" width="0" style="229" hidden="1" customWidth="1"/>
    <col min="13063" max="13063" width="7.7109375" style="229" customWidth="1"/>
    <col min="13064" max="13064" width="6" style="229" customWidth="1"/>
    <col min="13065" max="13065" width="7.28515625" style="229" customWidth="1"/>
    <col min="13066" max="13066" width="7.140625" style="229" customWidth="1"/>
    <col min="13067" max="13067" width="8.42578125" style="229" customWidth="1"/>
    <col min="13068" max="13068" width="6.5703125" style="229" customWidth="1"/>
    <col min="13069" max="13069" width="8.140625" style="229" customWidth="1"/>
    <col min="13070" max="13070" width="7.7109375" style="229" customWidth="1"/>
    <col min="13071" max="13071" width="8.85546875" style="229" customWidth="1"/>
    <col min="13072" max="13072" width="6.7109375" style="229" customWidth="1"/>
    <col min="13073" max="13073" width="7" style="229" customWidth="1"/>
    <col min="13074" max="13074" width="7.85546875" style="229" customWidth="1"/>
    <col min="13075" max="13075" width="12" style="229" customWidth="1"/>
    <col min="13076" max="13077" width="5.5703125" style="229" customWidth="1"/>
    <col min="13078" max="13078" width="10.140625" style="229" customWidth="1"/>
    <col min="13079" max="13312" width="9.140625" style="229"/>
    <col min="13313" max="13313" width="3" style="229" customWidth="1"/>
    <col min="13314" max="13314" width="3.7109375" style="229" customWidth="1"/>
    <col min="13315" max="13315" width="3.85546875" style="229" customWidth="1"/>
    <col min="13316" max="13316" width="21.140625" style="229" customWidth="1"/>
    <col min="13317" max="13317" width="9.7109375" style="229" customWidth="1"/>
    <col min="13318" max="13318" width="0" style="229" hidden="1" customWidth="1"/>
    <col min="13319" max="13319" width="7.7109375" style="229" customWidth="1"/>
    <col min="13320" max="13320" width="6" style="229" customWidth="1"/>
    <col min="13321" max="13321" width="7.28515625" style="229" customWidth="1"/>
    <col min="13322" max="13322" width="7.140625" style="229" customWidth="1"/>
    <col min="13323" max="13323" width="8.42578125" style="229" customWidth="1"/>
    <col min="13324" max="13324" width="6.5703125" style="229" customWidth="1"/>
    <col min="13325" max="13325" width="8.140625" style="229" customWidth="1"/>
    <col min="13326" max="13326" width="7.7109375" style="229" customWidth="1"/>
    <col min="13327" max="13327" width="8.85546875" style="229" customWidth="1"/>
    <col min="13328" max="13328" width="6.7109375" style="229" customWidth="1"/>
    <col min="13329" max="13329" width="7" style="229" customWidth="1"/>
    <col min="13330" max="13330" width="7.85546875" style="229" customWidth="1"/>
    <col min="13331" max="13331" width="12" style="229" customWidth="1"/>
    <col min="13332" max="13333" width="5.5703125" style="229" customWidth="1"/>
    <col min="13334" max="13334" width="10.140625" style="229" customWidth="1"/>
    <col min="13335" max="13568" width="9.140625" style="229"/>
    <col min="13569" max="13569" width="3" style="229" customWidth="1"/>
    <col min="13570" max="13570" width="3.7109375" style="229" customWidth="1"/>
    <col min="13571" max="13571" width="3.85546875" style="229" customWidth="1"/>
    <col min="13572" max="13572" width="21.140625" style="229" customWidth="1"/>
    <col min="13573" max="13573" width="9.7109375" style="229" customWidth="1"/>
    <col min="13574" max="13574" width="0" style="229" hidden="1" customWidth="1"/>
    <col min="13575" max="13575" width="7.7109375" style="229" customWidth="1"/>
    <col min="13576" max="13576" width="6" style="229" customWidth="1"/>
    <col min="13577" max="13577" width="7.28515625" style="229" customWidth="1"/>
    <col min="13578" max="13578" width="7.140625" style="229" customWidth="1"/>
    <col min="13579" max="13579" width="8.42578125" style="229" customWidth="1"/>
    <col min="13580" max="13580" width="6.5703125" style="229" customWidth="1"/>
    <col min="13581" max="13581" width="8.140625" style="229" customWidth="1"/>
    <col min="13582" max="13582" width="7.7109375" style="229" customWidth="1"/>
    <col min="13583" max="13583" width="8.85546875" style="229" customWidth="1"/>
    <col min="13584" max="13584" width="6.7109375" style="229" customWidth="1"/>
    <col min="13585" max="13585" width="7" style="229" customWidth="1"/>
    <col min="13586" max="13586" width="7.85546875" style="229" customWidth="1"/>
    <col min="13587" max="13587" width="12" style="229" customWidth="1"/>
    <col min="13588" max="13589" width="5.5703125" style="229" customWidth="1"/>
    <col min="13590" max="13590" width="10.140625" style="229" customWidth="1"/>
    <col min="13591" max="13824" width="9.140625" style="229"/>
    <col min="13825" max="13825" width="3" style="229" customWidth="1"/>
    <col min="13826" max="13826" width="3.7109375" style="229" customWidth="1"/>
    <col min="13827" max="13827" width="3.85546875" style="229" customWidth="1"/>
    <col min="13828" max="13828" width="21.140625" style="229" customWidth="1"/>
    <col min="13829" max="13829" width="9.7109375" style="229" customWidth="1"/>
    <col min="13830" max="13830" width="0" style="229" hidden="1" customWidth="1"/>
    <col min="13831" max="13831" width="7.7109375" style="229" customWidth="1"/>
    <col min="13832" max="13832" width="6" style="229" customWidth="1"/>
    <col min="13833" max="13833" width="7.28515625" style="229" customWidth="1"/>
    <col min="13834" max="13834" width="7.140625" style="229" customWidth="1"/>
    <col min="13835" max="13835" width="8.42578125" style="229" customWidth="1"/>
    <col min="13836" max="13836" width="6.5703125" style="229" customWidth="1"/>
    <col min="13837" max="13837" width="8.140625" style="229" customWidth="1"/>
    <col min="13838" max="13838" width="7.7109375" style="229" customWidth="1"/>
    <col min="13839" max="13839" width="8.85546875" style="229" customWidth="1"/>
    <col min="13840" max="13840" width="6.7109375" style="229" customWidth="1"/>
    <col min="13841" max="13841" width="7" style="229" customWidth="1"/>
    <col min="13842" max="13842" width="7.85546875" style="229" customWidth="1"/>
    <col min="13843" max="13843" width="12" style="229" customWidth="1"/>
    <col min="13844" max="13845" width="5.5703125" style="229" customWidth="1"/>
    <col min="13846" max="13846" width="10.140625" style="229" customWidth="1"/>
    <col min="13847" max="14080" width="9.140625" style="229"/>
    <col min="14081" max="14081" width="3" style="229" customWidth="1"/>
    <col min="14082" max="14082" width="3.7109375" style="229" customWidth="1"/>
    <col min="14083" max="14083" width="3.85546875" style="229" customWidth="1"/>
    <col min="14084" max="14084" width="21.140625" style="229" customWidth="1"/>
    <col min="14085" max="14085" width="9.7109375" style="229" customWidth="1"/>
    <col min="14086" max="14086" width="0" style="229" hidden="1" customWidth="1"/>
    <col min="14087" max="14087" width="7.7109375" style="229" customWidth="1"/>
    <col min="14088" max="14088" width="6" style="229" customWidth="1"/>
    <col min="14089" max="14089" width="7.28515625" style="229" customWidth="1"/>
    <col min="14090" max="14090" width="7.140625" style="229" customWidth="1"/>
    <col min="14091" max="14091" width="8.42578125" style="229" customWidth="1"/>
    <col min="14092" max="14092" width="6.5703125" style="229" customWidth="1"/>
    <col min="14093" max="14093" width="8.140625" style="229" customWidth="1"/>
    <col min="14094" max="14094" width="7.7109375" style="229" customWidth="1"/>
    <col min="14095" max="14095" width="8.85546875" style="229" customWidth="1"/>
    <col min="14096" max="14096" width="6.7109375" style="229" customWidth="1"/>
    <col min="14097" max="14097" width="7" style="229" customWidth="1"/>
    <col min="14098" max="14098" width="7.85546875" style="229" customWidth="1"/>
    <col min="14099" max="14099" width="12" style="229" customWidth="1"/>
    <col min="14100" max="14101" width="5.5703125" style="229" customWidth="1"/>
    <col min="14102" max="14102" width="10.140625" style="229" customWidth="1"/>
    <col min="14103" max="14336" width="9.140625" style="229"/>
    <col min="14337" max="14337" width="3" style="229" customWidth="1"/>
    <col min="14338" max="14338" width="3.7109375" style="229" customWidth="1"/>
    <col min="14339" max="14339" width="3.85546875" style="229" customWidth="1"/>
    <col min="14340" max="14340" width="21.140625" style="229" customWidth="1"/>
    <col min="14341" max="14341" width="9.7109375" style="229" customWidth="1"/>
    <col min="14342" max="14342" width="0" style="229" hidden="1" customWidth="1"/>
    <col min="14343" max="14343" width="7.7109375" style="229" customWidth="1"/>
    <col min="14344" max="14344" width="6" style="229" customWidth="1"/>
    <col min="14345" max="14345" width="7.28515625" style="229" customWidth="1"/>
    <col min="14346" max="14346" width="7.140625" style="229" customWidth="1"/>
    <col min="14347" max="14347" width="8.42578125" style="229" customWidth="1"/>
    <col min="14348" max="14348" width="6.5703125" style="229" customWidth="1"/>
    <col min="14349" max="14349" width="8.140625" style="229" customWidth="1"/>
    <col min="14350" max="14350" width="7.7109375" style="229" customWidth="1"/>
    <col min="14351" max="14351" width="8.85546875" style="229" customWidth="1"/>
    <col min="14352" max="14352" width="6.7109375" style="229" customWidth="1"/>
    <col min="14353" max="14353" width="7" style="229" customWidth="1"/>
    <col min="14354" max="14354" width="7.85546875" style="229" customWidth="1"/>
    <col min="14355" max="14355" width="12" style="229" customWidth="1"/>
    <col min="14356" max="14357" width="5.5703125" style="229" customWidth="1"/>
    <col min="14358" max="14358" width="10.140625" style="229" customWidth="1"/>
    <col min="14359" max="14592" width="9.140625" style="229"/>
    <col min="14593" max="14593" width="3" style="229" customWidth="1"/>
    <col min="14594" max="14594" width="3.7109375" style="229" customWidth="1"/>
    <col min="14595" max="14595" width="3.85546875" style="229" customWidth="1"/>
    <col min="14596" max="14596" width="21.140625" style="229" customWidth="1"/>
    <col min="14597" max="14597" width="9.7109375" style="229" customWidth="1"/>
    <col min="14598" max="14598" width="0" style="229" hidden="1" customWidth="1"/>
    <col min="14599" max="14599" width="7.7109375" style="229" customWidth="1"/>
    <col min="14600" max="14600" width="6" style="229" customWidth="1"/>
    <col min="14601" max="14601" width="7.28515625" style="229" customWidth="1"/>
    <col min="14602" max="14602" width="7.140625" style="229" customWidth="1"/>
    <col min="14603" max="14603" width="8.42578125" style="229" customWidth="1"/>
    <col min="14604" max="14604" width="6.5703125" style="229" customWidth="1"/>
    <col min="14605" max="14605" width="8.140625" style="229" customWidth="1"/>
    <col min="14606" max="14606" width="7.7109375" style="229" customWidth="1"/>
    <col min="14607" max="14607" width="8.85546875" style="229" customWidth="1"/>
    <col min="14608" max="14608" width="6.7109375" style="229" customWidth="1"/>
    <col min="14609" max="14609" width="7" style="229" customWidth="1"/>
    <col min="14610" max="14610" width="7.85546875" style="229" customWidth="1"/>
    <col min="14611" max="14611" width="12" style="229" customWidth="1"/>
    <col min="14612" max="14613" width="5.5703125" style="229" customWidth="1"/>
    <col min="14614" max="14614" width="10.140625" style="229" customWidth="1"/>
    <col min="14615" max="14848" width="9.140625" style="229"/>
    <col min="14849" max="14849" width="3" style="229" customWidth="1"/>
    <col min="14850" max="14850" width="3.7109375" style="229" customWidth="1"/>
    <col min="14851" max="14851" width="3.85546875" style="229" customWidth="1"/>
    <col min="14852" max="14852" width="21.140625" style="229" customWidth="1"/>
    <col min="14853" max="14853" width="9.7109375" style="229" customWidth="1"/>
    <col min="14854" max="14854" width="0" style="229" hidden="1" customWidth="1"/>
    <col min="14855" max="14855" width="7.7109375" style="229" customWidth="1"/>
    <col min="14856" max="14856" width="6" style="229" customWidth="1"/>
    <col min="14857" max="14857" width="7.28515625" style="229" customWidth="1"/>
    <col min="14858" max="14858" width="7.140625" style="229" customWidth="1"/>
    <col min="14859" max="14859" width="8.42578125" style="229" customWidth="1"/>
    <col min="14860" max="14860" width="6.5703125" style="229" customWidth="1"/>
    <col min="14861" max="14861" width="8.140625" style="229" customWidth="1"/>
    <col min="14862" max="14862" width="7.7109375" style="229" customWidth="1"/>
    <col min="14863" max="14863" width="8.85546875" style="229" customWidth="1"/>
    <col min="14864" max="14864" width="6.7109375" style="229" customWidth="1"/>
    <col min="14865" max="14865" width="7" style="229" customWidth="1"/>
    <col min="14866" max="14866" width="7.85546875" style="229" customWidth="1"/>
    <col min="14867" max="14867" width="12" style="229" customWidth="1"/>
    <col min="14868" max="14869" width="5.5703125" style="229" customWidth="1"/>
    <col min="14870" max="14870" width="10.140625" style="229" customWidth="1"/>
    <col min="14871" max="15104" width="9.140625" style="229"/>
    <col min="15105" max="15105" width="3" style="229" customWidth="1"/>
    <col min="15106" max="15106" width="3.7109375" style="229" customWidth="1"/>
    <col min="15107" max="15107" width="3.85546875" style="229" customWidth="1"/>
    <col min="15108" max="15108" width="21.140625" style="229" customWidth="1"/>
    <col min="15109" max="15109" width="9.7109375" style="229" customWidth="1"/>
    <col min="15110" max="15110" width="0" style="229" hidden="1" customWidth="1"/>
    <col min="15111" max="15111" width="7.7109375" style="229" customWidth="1"/>
    <col min="15112" max="15112" width="6" style="229" customWidth="1"/>
    <col min="15113" max="15113" width="7.28515625" style="229" customWidth="1"/>
    <col min="15114" max="15114" width="7.140625" style="229" customWidth="1"/>
    <col min="15115" max="15115" width="8.42578125" style="229" customWidth="1"/>
    <col min="15116" max="15116" width="6.5703125" style="229" customWidth="1"/>
    <col min="15117" max="15117" width="8.140625" style="229" customWidth="1"/>
    <col min="15118" max="15118" width="7.7109375" style="229" customWidth="1"/>
    <col min="15119" max="15119" width="8.85546875" style="229" customWidth="1"/>
    <col min="15120" max="15120" width="6.7109375" style="229" customWidth="1"/>
    <col min="15121" max="15121" width="7" style="229" customWidth="1"/>
    <col min="15122" max="15122" width="7.85546875" style="229" customWidth="1"/>
    <col min="15123" max="15123" width="12" style="229" customWidth="1"/>
    <col min="15124" max="15125" width="5.5703125" style="229" customWidth="1"/>
    <col min="15126" max="15126" width="10.140625" style="229" customWidth="1"/>
    <col min="15127" max="15360" width="9.140625" style="229"/>
    <col min="15361" max="15361" width="3" style="229" customWidth="1"/>
    <col min="15362" max="15362" width="3.7109375" style="229" customWidth="1"/>
    <col min="15363" max="15363" width="3.85546875" style="229" customWidth="1"/>
    <col min="15364" max="15364" width="21.140625" style="229" customWidth="1"/>
    <col min="15365" max="15365" width="9.7109375" style="229" customWidth="1"/>
    <col min="15366" max="15366" width="0" style="229" hidden="1" customWidth="1"/>
    <col min="15367" max="15367" width="7.7109375" style="229" customWidth="1"/>
    <col min="15368" max="15368" width="6" style="229" customWidth="1"/>
    <col min="15369" max="15369" width="7.28515625" style="229" customWidth="1"/>
    <col min="15370" max="15370" width="7.140625" style="229" customWidth="1"/>
    <col min="15371" max="15371" width="8.42578125" style="229" customWidth="1"/>
    <col min="15372" max="15372" width="6.5703125" style="229" customWidth="1"/>
    <col min="15373" max="15373" width="8.140625" style="229" customWidth="1"/>
    <col min="15374" max="15374" width="7.7109375" style="229" customWidth="1"/>
    <col min="15375" max="15375" width="8.85546875" style="229" customWidth="1"/>
    <col min="15376" max="15376" width="6.7109375" style="229" customWidth="1"/>
    <col min="15377" max="15377" width="7" style="229" customWidth="1"/>
    <col min="15378" max="15378" width="7.85546875" style="229" customWidth="1"/>
    <col min="15379" max="15379" width="12" style="229" customWidth="1"/>
    <col min="15380" max="15381" width="5.5703125" style="229" customWidth="1"/>
    <col min="15382" max="15382" width="10.140625" style="229" customWidth="1"/>
    <col min="15383" max="15616" width="9.140625" style="229"/>
    <col min="15617" max="15617" width="3" style="229" customWidth="1"/>
    <col min="15618" max="15618" width="3.7109375" style="229" customWidth="1"/>
    <col min="15619" max="15619" width="3.85546875" style="229" customWidth="1"/>
    <col min="15620" max="15620" width="21.140625" style="229" customWidth="1"/>
    <col min="15621" max="15621" width="9.7109375" style="229" customWidth="1"/>
    <col min="15622" max="15622" width="0" style="229" hidden="1" customWidth="1"/>
    <col min="15623" max="15623" width="7.7109375" style="229" customWidth="1"/>
    <col min="15624" max="15624" width="6" style="229" customWidth="1"/>
    <col min="15625" max="15625" width="7.28515625" style="229" customWidth="1"/>
    <col min="15626" max="15626" width="7.140625" style="229" customWidth="1"/>
    <col min="15627" max="15627" width="8.42578125" style="229" customWidth="1"/>
    <col min="15628" max="15628" width="6.5703125" style="229" customWidth="1"/>
    <col min="15629" max="15629" width="8.140625" style="229" customWidth="1"/>
    <col min="15630" max="15630" width="7.7109375" style="229" customWidth="1"/>
    <col min="15631" max="15631" width="8.85546875" style="229" customWidth="1"/>
    <col min="15632" max="15632" width="6.7109375" style="229" customWidth="1"/>
    <col min="15633" max="15633" width="7" style="229" customWidth="1"/>
    <col min="15634" max="15634" width="7.85546875" style="229" customWidth="1"/>
    <col min="15635" max="15635" width="12" style="229" customWidth="1"/>
    <col min="15636" max="15637" width="5.5703125" style="229" customWidth="1"/>
    <col min="15638" max="15638" width="10.140625" style="229" customWidth="1"/>
    <col min="15639" max="15872" width="9.140625" style="229"/>
    <col min="15873" max="15873" width="3" style="229" customWidth="1"/>
    <col min="15874" max="15874" width="3.7109375" style="229" customWidth="1"/>
    <col min="15875" max="15875" width="3.85546875" style="229" customWidth="1"/>
    <col min="15876" max="15876" width="21.140625" style="229" customWidth="1"/>
    <col min="15877" max="15877" width="9.7109375" style="229" customWidth="1"/>
    <col min="15878" max="15878" width="0" style="229" hidden="1" customWidth="1"/>
    <col min="15879" max="15879" width="7.7109375" style="229" customWidth="1"/>
    <col min="15880" max="15880" width="6" style="229" customWidth="1"/>
    <col min="15881" max="15881" width="7.28515625" style="229" customWidth="1"/>
    <col min="15882" max="15882" width="7.140625" style="229" customWidth="1"/>
    <col min="15883" max="15883" width="8.42578125" style="229" customWidth="1"/>
    <col min="15884" max="15884" width="6.5703125" style="229" customWidth="1"/>
    <col min="15885" max="15885" width="8.140625" style="229" customWidth="1"/>
    <col min="15886" max="15886" width="7.7109375" style="229" customWidth="1"/>
    <col min="15887" max="15887" width="8.85546875" style="229" customWidth="1"/>
    <col min="15888" max="15888" width="6.7109375" style="229" customWidth="1"/>
    <col min="15889" max="15889" width="7" style="229" customWidth="1"/>
    <col min="15890" max="15890" width="7.85546875" style="229" customWidth="1"/>
    <col min="15891" max="15891" width="12" style="229" customWidth="1"/>
    <col min="15892" max="15893" width="5.5703125" style="229" customWidth="1"/>
    <col min="15894" max="15894" width="10.140625" style="229" customWidth="1"/>
    <col min="15895" max="16128" width="9.140625" style="229"/>
    <col min="16129" max="16129" width="3" style="229" customWidth="1"/>
    <col min="16130" max="16130" width="3.7109375" style="229" customWidth="1"/>
    <col min="16131" max="16131" width="3.85546875" style="229" customWidth="1"/>
    <col min="16132" max="16132" width="21.140625" style="229" customWidth="1"/>
    <col min="16133" max="16133" width="9.7109375" style="229" customWidth="1"/>
    <col min="16134" max="16134" width="0" style="229" hidden="1" customWidth="1"/>
    <col min="16135" max="16135" width="7.7109375" style="229" customWidth="1"/>
    <col min="16136" max="16136" width="6" style="229" customWidth="1"/>
    <col min="16137" max="16137" width="7.28515625" style="229" customWidth="1"/>
    <col min="16138" max="16138" width="7.140625" style="229" customWidth="1"/>
    <col min="16139" max="16139" width="8.42578125" style="229" customWidth="1"/>
    <col min="16140" max="16140" width="6.5703125" style="229" customWidth="1"/>
    <col min="16141" max="16141" width="8.140625" style="229" customWidth="1"/>
    <col min="16142" max="16142" width="7.7109375" style="229" customWidth="1"/>
    <col min="16143" max="16143" width="8.85546875" style="229" customWidth="1"/>
    <col min="16144" max="16144" width="6.7109375" style="229" customWidth="1"/>
    <col min="16145" max="16145" width="7" style="229" customWidth="1"/>
    <col min="16146" max="16146" width="7.85546875" style="229" customWidth="1"/>
    <col min="16147" max="16147" width="12" style="229" customWidth="1"/>
    <col min="16148" max="16149" width="5.5703125" style="229" customWidth="1"/>
    <col min="16150" max="16150" width="10.140625" style="229" customWidth="1"/>
    <col min="16151" max="16384" width="9.140625" style="229"/>
  </cols>
  <sheetData>
    <row r="1" spans="1:27" ht="11.25" customHeight="1" x14ac:dyDescent="0.2">
      <c r="J1" s="231"/>
      <c r="R1" s="1305"/>
      <c r="S1" s="1305"/>
      <c r="T1" s="1305"/>
      <c r="U1" s="1305"/>
      <c r="V1" s="1305"/>
    </row>
    <row r="2" spans="1:27" ht="9" customHeight="1" x14ac:dyDescent="0.2">
      <c r="J2" s="231"/>
      <c r="R2" s="1305"/>
      <c r="S2" s="1305"/>
      <c r="T2" s="1305"/>
      <c r="U2" s="1305"/>
      <c r="V2" s="1305"/>
    </row>
    <row r="3" spans="1:27" ht="10.5" customHeight="1" x14ac:dyDescent="0.2">
      <c r="J3" s="231"/>
      <c r="R3" s="1305"/>
      <c r="S3" s="1305"/>
      <c r="T3" s="1305"/>
      <c r="U3" s="1305"/>
      <c r="V3" s="1305"/>
    </row>
    <row r="4" spans="1:27" ht="9.75" customHeight="1" x14ac:dyDescent="0.2">
      <c r="A4" s="1306"/>
      <c r="B4" s="1306"/>
      <c r="C4" s="1306"/>
      <c r="D4" s="1306"/>
      <c r="E4" s="1306"/>
      <c r="F4" s="1306"/>
      <c r="G4" s="1306"/>
      <c r="H4" s="1306"/>
      <c r="I4" s="1306"/>
      <c r="J4" s="1306"/>
      <c r="K4" s="1306"/>
      <c r="L4" s="1306"/>
      <c r="M4" s="1306"/>
      <c r="N4" s="1306"/>
      <c r="O4" s="1306"/>
      <c r="P4" s="1306"/>
      <c r="Q4" s="1306"/>
      <c r="R4" s="1306"/>
      <c r="S4" s="1306"/>
      <c r="T4" s="1306"/>
      <c r="U4" s="1306"/>
      <c r="V4" s="1306"/>
    </row>
    <row r="5" spans="1:27" s="232" customFormat="1" ht="12" x14ac:dyDescent="0.2">
      <c r="A5" s="1307" t="s">
        <v>210</v>
      </c>
      <c r="B5" s="1307"/>
      <c r="C5" s="1307"/>
      <c r="D5" s="1307"/>
      <c r="E5" s="1307"/>
      <c r="F5" s="1307"/>
      <c r="G5" s="1307"/>
      <c r="H5" s="1307"/>
      <c r="I5" s="1307"/>
      <c r="J5" s="1307"/>
      <c r="K5" s="1307"/>
      <c r="L5" s="1307"/>
      <c r="M5" s="1307"/>
      <c r="N5" s="1307"/>
      <c r="O5" s="1307"/>
      <c r="P5" s="1307"/>
      <c r="Q5" s="1307"/>
      <c r="R5" s="1307"/>
      <c r="S5" s="1307"/>
      <c r="T5" s="1307"/>
      <c r="U5" s="1307"/>
      <c r="V5" s="1307"/>
    </row>
    <row r="6" spans="1:27" ht="12" customHeight="1" x14ac:dyDescent="0.2">
      <c r="A6" s="1308" t="s">
        <v>192</v>
      </c>
      <c r="B6" s="1308"/>
      <c r="C6" s="1308"/>
      <c r="D6" s="1308"/>
      <c r="E6" s="1308"/>
      <c r="F6" s="1308"/>
      <c r="G6" s="1308"/>
      <c r="H6" s="1308"/>
      <c r="I6" s="1308"/>
      <c r="J6" s="1308"/>
      <c r="K6" s="1308"/>
      <c r="L6" s="1308"/>
      <c r="M6" s="1308"/>
      <c r="N6" s="1308"/>
      <c r="O6" s="1308"/>
      <c r="P6" s="1308"/>
      <c r="Q6" s="1308"/>
      <c r="R6" s="1308"/>
      <c r="S6" s="1308"/>
      <c r="T6" s="1308"/>
      <c r="U6" s="1308"/>
      <c r="V6" s="1308"/>
    </row>
    <row r="7" spans="1:27" ht="15" customHeight="1" thickBot="1" x14ac:dyDescent="0.25">
      <c r="A7" s="1309" t="s">
        <v>144</v>
      </c>
      <c r="B7" s="1309"/>
      <c r="C7" s="1309"/>
      <c r="D7" s="1309"/>
      <c r="E7" s="1309"/>
      <c r="F7" s="1309"/>
      <c r="G7" s="1309"/>
      <c r="H7" s="1309"/>
      <c r="I7" s="1309"/>
      <c r="J7" s="1309"/>
      <c r="K7" s="1309"/>
      <c r="L7" s="1309"/>
      <c r="M7" s="1309"/>
      <c r="N7" s="1309"/>
      <c r="O7" s="1309"/>
      <c r="P7" s="1309"/>
      <c r="Q7" s="1310"/>
      <c r="R7" s="1310"/>
      <c r="S7" s="1309"/>
      <c r="T7" s="1309"/>
      <c r="U7" s="1309"/>
      <c r="V7" s="1309"/>
    </row>
    <row r="8" spans="1:27" ht="27" customHeight="1" x14ac:dyDescent="0.2">
      <c r="A8" s="1311" t="s">
        <v>0</v>
      </c>
      <c r="B8" s="1276" t="s">
        <v>1</v>
      </c>
      <c r="C8" s="1276" t="s">
        <v>2</v>
      </c>
      <c r="D8" s="1270" t="s">
        <v>3</v>
      </c>
      <c r="E8" s="1273" t="s">
        <v>4</v>
      </c>
      <c r="F8" s="234"/>
      <c r="G8" s="1273" t="s">
        <v>5</v>
      </c>
      <c r="H8" s="1314" t="s">
        <v>6</v>
      </c>
      <c r="I8" s="1282" t="s">
        <v>367</v>
      </c>
      <c r="J8" s="1283"/>
      <c r="K8" s="1283"/>
      <c r="L8" s="1284"/>
      <c r="M8" s="1282" t="s">
        <v>200</v>
      </c>
      <c r="N8" s="1283"/>
      <c r="O8" s="1283"/>
      <c r="P8" s="1283"/>
      <c r="Q8" s="1319" t="s">
        <v>211</v>
      </c>
      <c r="R8" s="1319" t="s">
        <v>212</v>
      </c>
      <c r="S8" s="1322" t="s">
        <v>7</v>
      </c>
      <c r="T8" s="1323"/>
      <c r="U8" s="1323"/>
      <c r="V8" s="1324" t="s">
        <v>196</v>
      </c>
    </row>
    <row r="9" spans="1:27" ht="18.75" customHeight="1" x14ac:dyDescent="0.2">
      <c r="A9" s="1312"/>
      <c r="B9" s="1277"/>
      <c r="C9" s="1277"/>
      <c r="D9" s="1271"/>
      <c r="E9" s="1274"/>
      <c r="F9" s="235"/>
      <c r="G9" s="1274"/>
      <c r="H9" s="1315"/>
      <c r="I9" s="1327" t="s">
        <v>8</v>
      </c>
      <c r="J9" s="1329" t="s">
        <v>9</v>
      </c>
      <c r="K9" s="1329"/>
      <c r="L9" s="1242" t="s">
        <v>10</v>
      </c>
      <c r="M9" s="1327" t="s">
        <v>8</v>
      </c>
      <c r="N9" s="1329" t="s">
        <v>9</v>
      </c>
      <c r="O9" s="1329"/>
      <c r="P9" s="1330" t="s">
        <v>10</v>
      </c>
      <c r="Q9" s="1320"/>
      <c r="R9" s="1320"/>
      <c r="S9" s="1317" t="s">
        <v>24</v>
      </c>
      <c r="T9" s="236" t="s">
        <v>11</v>
      </c>
      <c r="U9" s="236" t="s">
        <v>194</v>
      </c>
      <c r="V9" s="1325"/>
    </row>
    <row r="10" spans="1:27" ht="90.75" customHeight="1" thickBot="1" x14ac:dyDescent="0.25">
      <c r="A10" s="1312"/>
      <c r="B10" s="1313"/>
      <c r="C10" s="1313"/>
      <c r="D10" s="1271"/>
      <c r="E10" s="1274"/>
      <c r="F10" s="235"/>
      <c r="G10" s="1274"/>
      <c r="H10" s="1316"/>
      <c r="I10" s="1328"/>
      <c r="J10" s="237" t="s">
        <v>213</v>
      </c>
      <c r="K10" s="238" t="s">
        <v>12</v>
      </c>
      <c r="L10" s="1343"/>
      <c r="M10" s="1328"/>
      <c r="N10" s="237" t="s">
        <v>8</v>
      </c>
      <c r="O10" s="238" t="s">
        <v>12</v>
      </c>
      <c r="P10" s="1331"/>
      <c r="Q10" s="1321"/>
      <c r="R10" s="1321"/>
      <c r="S10" s="1318"/>
      <c r="T10" s="239" t="s">
        <v>195</v>
      </c>
      <c r="U10" s="240" t="s">
        <v>214</v>
      </c>
      <c r="V10" s="1326"/>
    </row>
    <row r="11" spans="1:27" ht="14.25" customHeight="1" thickBot="1" x14ac:dyDescent="0.25">
      <c r="A11" s="1290" t="s">
        <v>215</v>
      </c>
      <c r="B11" s="1291"/>
      <c r="C11" s="1291"/>
      <c r="D11" s="1291"/>
      <c r="E11" s="1291"/>
      <c r="F11" s="1291"/>
      <c r="G11" s="1291"/>
      <c r="H11" s="1291"/>
      <c r="I11" s="1291"/>
      <c r="J11" s="1291"/>
      <c r="K11" s="1291"/>
      <c r="L11" s="1291"/>
      <c r="M11" s="1291"/>
      <c r="N11" s="1291"/>
      <c r="O11" s="1291"/>
      <c r="P11" s="1291"/>
      <c r="Q11" s="1291"/>
      <c r="R11" s="1291"/>
      <c r="S11" s="1291"/>
      <c r="T11" s="1291"/>
      <c r="U11" s="1291"/>
      <c r="V11" s="1347"/>
      <c r="W11" s="241"/>
      <c r="X11" s="241"/>
      <c r="Y11" s="241"/>
      <c r="Z11" s="241"/>
    </row>
    <row r="12" spans="1:27" ht="15" customHeight="1" thickBot="1" x14ac:dyDescent="0.25">
      <c r="A12" s="1348" t="s">
        <v>216</v>
      </c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50"/>
      <c r="W12" s="242"/>
      <c r="X12" s="242"/>
      <c r="Y12" s="242"/>
      <c r="Z12" s="242"/>
    </row>
    <row r="13" spans="1:27" ht="12.75" customHeight="1" thickBot="1" x14ac:dyDescent="0.25">
      <c r="A13" s="243" t="s">
        <v>17</v>
      </c>
      <c r="B13" s="1351" t="s">
        <v>217</v>
      </c>
      <c r="C13" s="1352"/>
      <c r="D13" s="1352"/>
      <c r="E13" s="1352"/>
      <c r="F13" s="1352"/>
      <c r="G13" s="1352"/>
      <c r="H13" s="1352"/>
      <c r="I13" s="1352"/>
      <c r="J13" s="1352"/>
      <c r="K13" s="1352"/>
      <c r="L13" s="1352"/>
      <c r="M13" s="1352"/>
      <c r="N13" s="1352"/>
      <c r="O13" s="1352"/>
      <c r="P13" s="1352"/>
      <c r="Q13" s="1352"/>
      <c r="R13" s="1352"/>
      <c r="S13" s="1352"/>
      <c r="T13" s="1352"/>
      <c r="U13" s="1352"/>
      <c r="V13" s="1353"/>
      <c r="W13" s="242"/>
      <c r="X13" s="242"/>
      <c r="Y13" s="242"/>
      <c r="Z13" s="242"/>
    </row>
    <row r="14" spans="1:27" ht="13.5" customHeight="1" thickBot="1" x14ac:dyDescent="0.25">
      <c r="A14" s="244" t="s">
        <v>17</v>
      </c>
      <c r="B14" s="245" t="s">
        <v>17</v>
      </c>
      <c r="C14" s="1354" t="s">
        <v>218</v>
      </c>
      <c r="D14" s="1355"/>
      <c r="E14" s="1355"/>
      <c r="F14" s="1355"/>
      <c r="G14" s="1355"/>
      <c r="H14" s="1355"/>
      <c r="I14" s="1355"/>
      <c r="J14" s="1355"/>
      <c r="K14" s="1355"/>
      <c r="L14" s="1355"/>
      <c r="M14" s="1355"/>
      <c r="N14" s="1355"/>
      <c r="O14" s="1355"/>
      <c r="P14" s="1355"/>
      <c r="Q14" s="1355"/>
      <c r="R14" s="1355"/>
      <c r="S14" s="1355"/>
      <c r="T14" s="1355"/>
      <c r="U14" s="1355"/>
      <c r="V14" s="1356"/>
      <c r="W14" s="242"/>
      <c r="X14" s="242"/>
      <c r="Y14" s="242"/>
      <c r="Z14" s="242"/>
    </row>
    <row r="15" spans="1:27" ht="13.5" customHeight="1" x14ac:dyDescent="0.2">
      <c r="A15" s="1357" t="s">
        <v>17</v>
      </c>
      <c r="B15" s="1360" t="s">
        <v>17</v>
      </c>
      <c r="C15" s="1142" t="s">
        <v>17</v>
      </c>
      <c r="D15" s="1301" t="s">
        <v>219</v>
      </c>
      <c r="E15" s="1303" t="s">
        <v>220</v>
      </c>
      <c r="F15" s="246"/>
      <c r="G15" s="1303" t="s">
        <v>221</v>
      </c>
      <c r="H15" s="247" t="s">
        <v>222</v>
      </c>
      <c r="I15" s="248">
        <f t="shared" ref="I15:R16" si="0">I23+I29+I35+I42+I48+I55+I61+I67+I74+I80+I87+I93</f>
        <v>3178.8999999999996</v>
      </c>
      <c r="J15" s="249">
        <f t="shared" si="0"/>
        <v>3176.8999999999996</v>
      </c>
      <c r="K15" s="250">
        <f t="shared" si="0"/>
        <v>2361.7999999999997</v>
      </c>
      <c r="L15" s="249">
        <f t="shared" si="0"/>
        <v>2</v>
      </c>
      <c r="M15" s="251">
        <f t="shared" si="0"/>
        <v>3464.3529999999996</v>
      </c>
      <c r="N15" s="252">
        <f t="shared" si="0"/>
        <v>3462.1529999999993</v>
      </c>
      <c r="O15" s="252">
        <f t="shared" si="0"/>
        <v>2582.9000000000005</v>
      </c>
      <c r="P15" s="253">
        <f t="shared" si="0"/>
        <v>2.2000000000000002</v>
      </c>
      <c r="Q15" s="254">
        <f t="shared" si="0"/>
        <v>3140.6</v>
      </c>
      <c r="R15" s="254">
        <f t="shared" si="0"/>
        <v>3114.5</v>
      </c>
      <c r="S15" s="1333" t="s">
        <v>223</v>
      </c>
      <c r="T15" s="1335">
        <f>T23+T29+T35+T42+T48+T55+T61+T67+T74+T80+T87+T93</f>
        <v>12</v>
      </c>
      <c r="U15" s="1338">
        <f>U23+U29+U35+U42+U48+U55+U61+U67+U74+U80+U87+U93</f>
        <v>12</v>
      </c>
      <c r="V15" s="1341"/>
      <c r="W15" s="255"/>
      <c r="X15" s="256"/>
    </row>
    <row r="16" spans="1:27" ht="13.5" customHeight="1" x14ac:dyDescent="0.2">
      <c r="A16" s="1140"/>
      <c r="B16" s="1141"/>
      <c r="C16" s="1142"/>
      <c r="D16" s="1301"/>
      <c r="E16" s="1303"/>
      <c r="F16" s="246"/>
      <c r="G16" s="1303"/>
      <c r="H16" s="247" t="s">
        <v>224</v>
      </c>
      <c r="I16" s="257">
        <f t="shared" si="0"/>
        <v>2273.4999999999995</v>
      </c>
      <c r="J16" s="258">
        <f t="shared" si="0"/>
        <v>2231.4999999999995</v>
      </c>
      <c r="K16" s="259">
        <f t="shared" si="0"/>
        <v>1212.0999999999999</v>
      </c>
      <c r="L16" s="258">
        <f t="shared" si="0"/>
        <v>42</v>
      </c>
      <c r="M16" s="260">
        <f t="shared" si="0"/>
        <v>2013.2790000000002</v>
      </c>
      <c r="N16" s="261">
        <f t="shared" si="0"/>
        <v>2000.4790000000003</v>
      </c>
      <c r="O16" s="261">
        <f t="shared" si="0"/>
        <v>1146.3500000000001</v>
      </c>
      <c r="P16" s="262">
        <f t="shared" si="0"/>
        <v>12.8</v>
      </c>
      <c r="Q16" s="263">
        <f t="shared" si="0"/>
        <v>2324.2000000000003</v>
      </c>
      <c r="R16" s="263">
        <f t="shared" si="0"/>
        <v>2457.7999999999997</v>
      </c>
      <c r="S16" s="1333"/>
      <c r="T16" s="1336"/>
      <c r="U16" s="1339"/>
      <c r="V16" s="1342"/>
      <c r="W16" s="264"/>
      <c r="X16" s="265"/>
      <c r="Y16" s="265"/>
      <c r="Z16" s="265"/>
      <c r="AA16" s="265"/>
    </row>
    <row r="17" spans="1:27" ht="13.5" customHeight="1" x14ac:dyDescent="0.2">
      <c r="A17" s="1140"/>
      <c r="B17" s="1141"/>
      <c r="C17" s="1142"/>
      <c r="D17" s="1301"/>
      <c r="E17" s="1303"/>
      <c r="F17" s="246"/>
      <c r="G17" s="1303"/>
      <c r="H17" s="247" t="s">
        <v>225</v>
      </c>
      <c r="I17" s="266">
        <f>I69</f>
        <v>3.5</v>
      </c>
      <c r="J17" s="267">
        <f>J69</f>
        <v>3.5</v>
      </c>
      <c r="K17" s="268">
        <f>K69</f>
        <v>0</v>
      </c>
      <c r="L17" s="267">
        <f>L69</f>
        <v>0</v>
      </c>
      <c r="M17" s="269">
        <f>N17+P17</f>
        <v>7.3</v>
      </c>
      <c r="N17" s="261">
        <f>N69+N37+N82</f>
        <v>7.3</v>
      </c>
      <c r="O17" s="261">
        <f>O69+O37+O82</f>
        <v>0</v>
      </c>
      <c r="P17" s="262">
        <f>P69+P37+P82</f>
        <v>0</v>
      </c>
      <c r="Q17" s="263">
        <f>Q69+Q37+Q82</f>
        <v>3.5</v>
      </c>
      <c r="R17" s="298">
        <f>R69+R37+R82</f>
        <v>3.5</v>
      </c>
      <c r="S17" s="1333"/>
      <c r="T17" s="1336"/>
      <c r="U17" s="1339"/>
      <c r="V17" s="1342"/>
      <c r="W17" s="264"/>
      <c r="X17" s="265"/>
      <c r="Y17" s="265"/>
      <c r="Z17" s="265"/>
      <c r="AA17" s="265"/>
    </row>
    <row r="18" spans="1:27" ht="13.5" customHeight="1" x14ac:dyDescent="0.2">
      <c r="A18" s="1140"/>
      <c r="B18" s="1141"/>
      <c r="C18" s="1142"/>
      <c r="D18" s="1301"/>
      <c r="E18" s="1303"/>
      <c r="F18" s="246"/>
      <c r="G18" s="1303"/>
      <c r="H18" s="247" t="s">
        <v>226</v>
      </c>
      <c r="I18" s="266">
        <f t="shared" ref="I18:R19" si="1">I25+I31+I38+I44+I50+I57+I63+I70+I76+I83+I89+I96</f>
        <v>31.9</v>
      </c>
      <c r="J18" s="267">
        <f t="shared" si="1"/>
        <v>31.9</v>
      </c>
      <c r="K18" s="268">
        <f t="shared" si="1"/>
        <v>0</v>
      </c>
      <c r="L18" s="267">
        <f t="shared" si="1"/>
        <v>0</v>
      </c>
      <c r="M18" s="269">
        <f t="shared" si="1"/>
        <v>46.319999999999993</v>
      </c>
      <c r="N18" s="261">
        <f t="shared" si="1"/>
        <v>46.319999999999993</v>
      </c>
      <c r="O18" s="270">
        <f t="shared" si="1"/>
        <v>0</v>
      </c>
      <c r="P18" s="262">
        <f t="shared" si="1"/>
        <v>0</v>
      </c>
      <c r="Q18" s="271">
        <f t="shared" si="1"/>
        <v>32.200000000000003</v>
      </c>
      <c r="R18" s="271">
        <f t="shared" si="1"/>
        <v>32.799999999999997</v>
      </c>
      <c r="S18" s="1333"/>
      <c r="T18" s="1336"/>
      <c r="U18" s="1339"/>
      <c r="V18" s="1342"/>
      <c r="W18" s="264"/>
      <c r="X18" s="264"/>
      <c r="Y18" s="264"/>
      <c r="Z18" s="264"/>
      <c r="AA18" s="264"/>
    </row>
    <row r="19" spans="1:27" ht="13.5" customHeight="1" x14ac:dyDescent="0.2">
      <c r="A19" s="1358"/>
      <c r="B19" s="1361"/>
      <c r="C19" s="1142"/>
      <c r="D19" s="1301"/>
      <c r="E19" s="1303"/>
      <c r="F19" s="246" t="s">
        <v>227</v>
      </c>
      <c r="G19" s="1303"/>
      <c r="H19" s="247" t="s">
        <v>73</v>
      </c>
      <c r="I19" s="266">
        <f t="shared" si="1"/>
        <v>0</v>
      </c>
      <c r="J19" s="259">
        <f t="shared" si="1"/>
        <v>0</v>
      </c>
      <c r="K19" s="272">
        <f t="shared" si="1"/>
        <v>0</v>
      </c>
      <c r="L19" s="273">
        <f t="shared" si="1"/>
        <v>0</v>
      </c>
      <c r="M19" s="269">
        <f t="shared" si="1"/>
        <v>80.699999999999989</v>
      </c>
      <c r="N19" s="261">
        <f>N26+N32+N39+N45+N51+N58+N64+N71+N77+N84+N90+N97</f>
        <v>80.699999999999989</v>
      </c>
      <c r="O19" s="274">
        <f t="shared" si="1"/>
        <v>61.6</v>
      </c>
      <c r="P19" s="262">
        <f t="shared" si="1"/>
        <v>0</v>
      </c>
      <c r="Q19" s="271">
        <v>0</v>
      </c>
      <c r="R19" s="271">
        <v>0</v>
      </c>
      <c r="S19" s="1333"/>
      <c r="T19" s="1336"/>
      <c r="U19" s="1339"/>
      <c r="V19" s="1342"/>
      <c r="W19" s="264"/>
      <c r="X19" s="264"/>
      <c r="Y19" s="264"/>
      <c r="Z19" s="264"/>
      <c r="AA19" s="264"/>
    </row>
    <row r="20" spans="1:27" ht="13.5" customHeight="1" x14ac:dyDescent="0.2">
      <c r="A20" s="1358"/>
      <c r="B20" s="1361"/>
      <c r="C20" s="1142"/>
      <c r="D20" s="1301"/>
      <c r="E20" s="1303"/>
      <c r="F20" s="246"/>
      <c r="G20" s="1303"/>
      <c r="H20" s="275" t="s">
        <v>73</v>
      </c>
      <c r="I20" s="266">
        <f>J20+L20</f>
        <v>0</v>
      </c>
      <c r="J20" s="258">
        <v>0</v>
      </c>
      <c r="K20" s="259">
        <v>0</v>
      </c>
      <c r="L20" s="258">
        <f>L27+L46+L59+L72</f>
        <v>0</v>
      </c>
      <c r="M20" s="269">
        <f>N20+P20</f>
        <v>17.200000000000003</v>
      </c>
      <c r="N20" s="261">
        <f>N27+N33+N40+N46+N52+N59+N65+N72+N78+N85+N91+N98</f>
        <v>17.200000000000003</v>
      </c>
      <c r="O20" s="261">
        <f>O27+O33+O40+O46+O52+O59+O65+O72+O78+O85+O91+O98</f>
        <v>13.199999999999998</v>
      </c>
      <c r="P20" s="262">
        <f>P27+P33+P40+P46+P52+P59+P65+P72+P78+P85+P91+P98</f>
        <v>0</v>
      </c>
      <c r="Q20" s="271">
        <f>Q27+Q46+Q59+Q72</f>
        <v>0</v>
      </c>
      <c r="R20" s="271">
        <f>R27+R46+R59+R72</f>
        <v>0</v>
      </c>
      <c r="S20" s="1333"/>
      <c r="T20" s="1336"/>
      <c r="U20" s="1339"/>
      <c r="V20" s="1342"/>
      <c r="W20" s="264"/>
      <c r="X20" s="264"/>
      <c r="Y20" s="264"/>
      <c r="Z20" s="264"/>
      <c r="AA20" s="264"/>
    </row>
    <row r="21" spans="1:27" ht="13.5" customHeight="1" x14ac:dyDescent="0.2">
      <c r="A21" s="1358"/>
      <c r="B21" s="1361"/>
      <c r="C21" s="1142"/>
      <c r="D21" s="1301"/>
      <c r="E21" s="1303"/>
      <c r="F21" s="276" t="s">
        <v>228</v>
      </c>
      <c r="G21" s="1303"/>
      <c r="H21" s="275" t="s">
        <v>73</v>
      </c>
      <c r="I21" s="266">
        <f>J21+L21</f>
        <v>0</v>
      </c>
      <c r="J21" s="258">
        <f>J53</f>
        <v>0</v>
      </c>
      <c r="K21" s="258">
        <f>K53</f>
        <v>0</v>
      </c>
      <c r="L21" s="258">
        <f>L53</f>
        <v>0</v>
      </c>
      <c r="M21" s="269">
        <f>N21+P21</f>
        <v>9.7050000000000001</v>
      </c>
      <c r="N21" s="261">
        <f>N53</f>
        <v>9.7050000000000001</v>
      </c>
      <c r="O21" s="261">
        <f>O53</f>
        <v>7.4130000000000003</v>
      </c>
      <c r="P21" s="262">
        <f>P53</f>
        <v>0</v>
      </c>
      <c r="Q21" s="271">
        <f>Q53</f>
        <v>0</v>
      </c>
      <c r="R21" s="277">
        <f>R53</f>
        <v>0</v>
      </c>
      <c r="S21" s="1333"/>
      <c r="T21" s="1337"/>
      <c r="U21" s="1340"/>
      <c r="V21" s="1297"/>
      <c r="W21" s="264"/>
      <c r="X21" s="264"/>
      <c r="Y21" s="264"/>
      <c r="Z21" s="264"/>
      <c r="AA21" s="264"/>
    </row>
    <row r="22" spans="1:27" ht="21" customHeight="1" x14ac:dyDescent="0.2">
      <c r="A22" s="1359"/>
      <c r="B22" s="1362"/>
      <c r="C22" s="1127"/>
      <c r="D22" s="1302"/>
      <c r="E22" s="1304"/>
      <c r="F22" s="278"/>
      <c r="G22" s="1332"/>
      <c r="H22" s="279" t="s">
        <v>13</v>
      </c>
      <c r="I22" s="280">
        <f t="shared" ref="I22:R22" si="2">SUM(I15:I21)</f>
        <v>5487.7999999999993</v>
      </c>
      <c r="J22" s="281">
        <f t="shared" si="2"/>
        <v>5443.7999999999993</v>
      </c>
      <c r="K22" s="282">
        <f t="shared" si="2"/>
        <v>3573.8999999999996</v>
      </c>
      <c r="L22" s="281">
        <f t="shared" si="2"/>
        <v>44</v>
      </c>
      <c r="M22" s="283">
        <f t="shared" si="2"/>
        <v>5638.8569999999991</v>
      </c>
      <c r="N22" s="284">
        <f t="shared" si="2"/>
        <v>5623.8569999999991</v>
      </c>
      <c r="O22" s="284">
        <f t="shared" si="2"/>
        <v>3811.4630000000006</v>
      </c>
      <c r="P22" s="285">
        <f t="shared" si="2"/>
        <v>15</v>
      </c>
      <c r="Q22" s="286">
        <f t="shared" si="2"/>
        <v>5500.5</v>
      </c>
      <c r="R22" s="286">
        <f t="shared" si="2"/>
        <v>5608.5999999999995</v>
      </c>
      <c r="S22" s="1334"/>
      <c r="T22" s="287">
        <f>SUM(T15:T15)</f>
        <v>12</v>
      </c>
      <c r="U22" s="288">
        <f>SUM(U15:U15)</f>
        <v>12</v>
      </c>
      <c r="V22" s="289"/>
      <c r="W22" s="255"/>
      <c r="X22" s="256"/>
    </row>
    <row r="23" spans="1:27" ht="13.5" hidden="1" customHeight="1" outlineLevel="1" x14ac:dyDescent="0.2">
      <c r="A23" s="1344" t="s">
        <v>17</v>
      </c>
      <c r="B23" s="1125" t="s">
        <v>17</v>
      </c>
      <c r="C23" s="1127" t="s">
        <v>229</v>
      </c>
      <c r="D23" s="1301" t="s">
        <v>219</v>
      </c>
      <c r="E23" s="1303" t="s">
        <v>230</v>
      </c>
      <c r="F23" s="290"/>
      <c r="G23" s="1303" t="s">
        <v>231</v>
      </c>
      <c r="H23" s="247" t="s">
        <v>222</v>
      </c>
      <c r="I23" s="257">
        <f>J23+L23</f>
        <v>485.5</v>
      </c>
      <c r="J23" s="291">
        <v>485.5</v>
      </c>
      <c r="K23" s="292">
        <v>360.7</v>
      </c>
      <c r="L23" s="291">
        <v>0</v>
      </c>
      <c r="M23" s="260">
        <f>N23+P23</f>
        <v>492.6</v>
      </c>
      <c r="N23" s="293">
        <v>491.1</v>
      </c>
      <c r="O23" s="293">
        <v>366.1</v>
      </c>
      <c r="P23" s="294">
        <v>1.5</v>
      </c>
      <c r="Q23" s="263">
        <v>485.5</v>
      </c>
      <c r="R23" s="295">
        <v>485.5</v>
      </c>
      <c r="S23" s="1333" t="s">
        <v>223</v>
      </c>
      <c r="T23" s="1345">
        <v>1</v>
      </c>
      <c r="U23" s="1346">
        <v>1</v>
      </c>
      <c r="V23" s="1296"/>
      <c r="W23" s="255"/>
      <c r="X23" s="256"/>
    </row>
    <row r="24" spans="1:27" ht="13.5" hidden="1" customHeight="1" outlineLevel="1" x14ac:dyDescent="0.2">
      <c r="A24" s="1344"/>
      <c r="B24" s="1125"/>
      <c r="C24" s="1127"/>
      <c r="D24" s="1301"/>
      <c r="E24" s="1303"/>
      <c r="F24" s="290" t="s">
        <v>232</v>
      </c>
      <c r="G24" s="1303"/>
      <c r="H24" s="247" t="s">
        <v>224</v>
      </c>
      <c r="I24" s="257">
        <f>J24+L24</f>
        <v>334.6</v>
      </c>
      <c r="J24" s="291">
        <v>329.6</v>
      </c>
      <c r="K24" s="292">
        <v>158.80000000000001</v>
      </c>
      <c r="L24" s="291">
        <v>5</v>
      </c>
      <c r="M24" s="260">
        <f>N24+P24</f>
        <v>307.10000000000002</v>
      </c>
      <c r="N24" s="293">
        <v>307.10000000000002</v>
      </c>
      <c r="O24" s="293">
        <v>156</v>
      </c>
      <c r="P24" s="294">
        <v>0</v>
      </c>
      <c r="Q24" s="263">
        <v>320</v>
      </c>
      <c r="R24" s="295">
        <v>320</v>
      </c>
      <c r="S24" s="1333"/>
      <c r="T24" s="1336"/>
      <c r="U24" s="1339"/>
      <c r="V24" s="1342"/>
      <c r="W24" s="296"/>
      <c r="X24" s="264"/>
      <c r="Y24" s="264"/>
      <c r="Z24" s="264"/>
      <c r="AA24" s="264"/>
    </row>
    <row r="25" spans="1:27" ht="13.5" hidden="1" customHeight="1" outlineLevel="1" x14ac:dyDescent="0.2">
      <c r="A25" s="1344"/>
      <c r="B25" s="1125"/>
      <c r="C25" s="1127"/>
      <c r="D25" s="1301"/>
      <c r="E25" s="1303"/>
      <c r="F25" s="290" t="s">
        <v>233</v>
      </c>
      <c r="G25" s="1303"/>
      <c r="H25" s="247" t="s">
        <v>226</v>
      </c>
      <c r="I25" s="257">
        <f>J25+L25</f>
        <v>10.1</v>
      </c>
      <c r="J25" s="291">
        <v>10.1</v>
      </c>
      <c r="K25" s="292">
        <v>0</v>
      </c>
      <c r="L25" s="291">
        <v>0</v>
      </c>
      <c r="M25" s="260">
        <f>N25+P25</f>
        <v>22.6</v>
      </c>
      <c r="N25" s="293">
        <v>22.6</v>
      </c>
      <c r="O25" s="293">
        <v>0</v>
      </c>
      <c r="P25" s="294">
        <v>0</v>
      </c>
      <c r="Q25" s="263">
        <v>10</v>
      </c>
      <c r="R25" s="295">
        <v>10</v>
      </c>
      <c r="S25" s="1333"/>
      <c r="T25" s="1336"/>
      <c r="U25" s="1339"/>
      <c r="V25" s="1342"/>
      <c r="W25" s="296"/>
      <c r="X25" s="264"/>
      <c r="Y25" s="264"/>
      <c r="Z25" s="264"/>
      <c r="AA25" s="264"/>
    </row>
    <row r="26" spans="1:27" ht="13.5" hidden="1" customHeight="1" outlineLevel="1" x14ac:dyDescent="0.2">
      <c r="A26" s="1344"/>
      <c r="B26" s="1125"/>
      <c r="C26" s="1127"/>
      <c r="D26" s="1301"/>
      <c r="E26" s="1303"/>
      <c r="F26" s="246" t="s">
        <v>227</v>
      </c>
      <c r="G26" s="1303"/>
      <c r="H26" s="247" t="s">
        <v>73</v>
      </c>
      <c r="I26" s="257">
        <f>J26+L26</f>
        <v>0</v>
      </c>
      <c r="J26" s="291">
        <v>0</v>
      </c>
      <c r="K26" s="292">
        <v>0</v>
      </c>
      <c r="L26" s="291">
        <v>0</v>
      </c>
      <c r="M26" s="260">
        <f>N26+P26</f>
        <v>10.7</v>
      </c>
      <c r="N26" s="293">
        <v>10.7</v>
      </c>
      <c r="O26" s="293">
        <v>8.1999999999999993</v>
      </c>
      <c r="P26" s="294">
        <v>0</v>
      </c>
      <c r="Q26" s="263">
        <v>0</v>
      </c>
      <c r="R26" s="295">
        <v>0</v>
      </c>
      <c r="S26" s="1333"/>
      <c r="T26" s="1336"/>
      <c r="U26" s="1339"/>
      <c r="V26" s="1342"/>
      <c r="W26" s="264"/>
      <c r="X26" s="264"/>
      <c r="Y26" s="264"/>
      <c r="Z26" s="264"/>
      <c r="AA26" s="264"/>
    </row>
    <row r="27" spans="1:27" ht="13.5" hidden="1" customHeight="1" outlineLevel="1" x14ac:dyDescent="0.2">
      <c r="A27" s="1344"/>
      <c r="B27" s="1125"/>
      <c r="C27" s="1127"/>
      <c r="D27" s="1301"/>
      <c r="E27" s="1303"/>
      <c r="F27" s="290"/>
      <c r="G27" s="1303"/>
      <c r="H27" s="247" t="s">
        <v>73</v>
      </c>
      <c r="I27" s="257">
        <f>J27+L27</f>
        <v>0</v>
      </c>
      <c r="J27" s="291">
        <v>0</v>
      </c>
      <c r="K27" s="292">
        <v>0</v>
      </c>
      <c r="L27" s="291">
        <v>0</v>
      </c>
      <c r="M27" s="260">
        <f>N27+P27</f>
        <v>2</v>
      </c>
      <c r="N27" s="293">
        <v>2</v>
      </c>
      <c r="O27" s="293">
        <v>1.5</v>
      </c>
      <c r="P27" s="297">
        <v>0</v>
      </c>
      <c r="Q27" s="298">
        <v>0</v>
      </c>
      <c r="R27" s="295">
        <v>0</v>
      </c>
      <c r="S27" s="1333"/>
      <c r="T27" s="1337"/>
      <c r="U27" s="1340"/>
      <c r="V27" s="1297"/>
      <c r="W27" s="264"/>
      <c r="X27" s="264"/>
      <c r="Y27" s="264"/>
      <c r="Z27" s="264"/>
      <c r="AA27" s="264"/>
    </row>
    <row r="28" spans="1:27" ht="13.5" hidden="1" customHeight="1" outlineLevel="1" x14ac:dyDescent="0.2">
      <c r="A28" s="1344"/>
      <c r="B28" s="1125"/>
      <c r="C28" s="1127"/>
      <c r="D28" s="1302"/>
      <c r="E28" s="1304"/>
      <c r="F28" s="299"/>
      <c r="G28" s="1332"/>
      <c r="H28" s="279" t="s">
        <v>13</v>
      </c>
      <c r="I28" s="280">
        <f>SUM(I23:I26)</f>
        <v>830.2</v>
      </c>
      <c r="J28" s="281">
        <f t="shared" ref="J28:P28" si="3">SUM(J23:J27)</f>
        <v>825.2</v>
      </c>
      <c r="K28" s="282">
        <f t="shared" si="3"/>
        <v>519.5</v>
      </c>
      <c r="L28" s="281">
        <f t="shared" si="3"/>
        <v>5</v>
      </c>
      <c r="M28" s="283">
        <f t="shared" si="3"/>
        <v>835.00000000000011</v>
      </c>
      <c r="N28" s="284">
        <f t="shared" si="3"/>
        <v>833.50000000000011</v>
      </c>
      <c r="O28" s="284">
        <f t="shared" si="3"/>
        <v>531.80000000000007</v>
      </c>
      <c r="P28" s="300">
        <f t="shared" si="3"/>
        <v>1.5</v>
      </c>
      <c r="Q28" s="301">
        <f>SUM(Q23:Q27)</f>
        <v>815.5</v>
      </c>
      <c r="R28" s="286">
        <f>SUM(R23:R25)</f>
        <v>815.5</v>
      </c>
      <c r="S28" s="1334"/>
      <c r="T28" s="287">
        <f>SUM(T23:T23)</f>
        <v>1</v>
      </c>
      <c r="U28" s="288">
        <f>SUM(U23:U23)</f>
        <v>1</v>
      </c>
      <c r="V28" s="289"/>
      <c r="W28" s="255"/>
      <c r="X28" s="256"/>
    </row>
    <row r="29" spans="1:27" ht="13.5" hidden="1" customHeight="1" outlineLevel="1" x14ac:dyDescent="0.2">
      <c r="A29" s="1344" t="s">
        <v>17</v>
      </c>
      <c r="B29" s="1125" t="s">
        <v>17</v>
      </c>
      <c r="C29" s="1127" t="s">
        <v>234</v>
      </c>
      <c r="D29" s="1301" t="s">
        <v>219</v>
      </c>
      <c r="E29" s="1303" t="s">
        <v>230</v>
      </c>
      <c r="F29" s="290"/>
      <c r="G29" s="1303" t="s">
        <v>235</v>
      </c>
      <c r="H29" s="247" t="s">
        <v>222</v>
      </c>
      <c r="I29" s="257">
        <f>J29+L29</f>
        <v>541.20000000000005</v>
      </c>
      <c r="J29" s="291">
        <v>541.20000000000005</v>
      </c>
      <c r="K29" s="292">
        <v>400.9</v>
      </c>
      <c r="L29" s="291">
        <v>0</v>
      </c>
      <c r="M29" s="260">
        <f>N29+P29</f>
        <v>608.4</v>
      </c>
      <c r="N29" s="293">
        <v>608.4</v>
      </c>
      <c r="O29" s="293">
        <v>452.3</v>
      </c>
      <c r="P29" s="297">
        <v>0</v>
      </c>
      <c r="Q29" s="298">
        <v>487.1</v>
      </c>
      <c r="R29" s="295">
        <v>438.4</v>
      </c>
      <c r="S29" s="1333" t="s">
        <v>223</v>
      </c>
      <c r="T29" s="1345">
        <v>1</v>
      </c>
      <c r="U29" s="1346">
        <v>1</v>
      </c>
      <c r="V29" s="1296"/>
      <c r="W29" s="255"/>
      <c r="X29" s="256"/>
    </row>
    <row r="30" spans="1:27" ht="13.5" hidden="1" customHeight="1" outlineLevel="1" x14ac:dyDescent="0.2">
      <c r="A30" s="1344"/>
      <c r="B30" s="1125"/>
      <c r="C30" s="1127"/>
      <c r="D30" s="1301"/>
      <c r="E30" s="1303"/>
      <c r="F30" s="290" t="s">
        <v>236</v>
      </c>
      <c r="G30" s="1303"/>
      <c r="H30" s="247" t="s">
        <v>224</v>
      </c>
      <c r="I30" s="257">
        <f>J30+L30</f>
        <v>320</v>
      </c>
      <c r="J30" s="291">
        <v>317</v>
      </c>
      <c r="K30" s="292">
        <v>170.5</v>
      </c>
      <c r="L30" s="291">
        <v>3</v>
      </c>
      <c r="M30" s="260">
        <f>N30+P30</f>
        <v>288.60000000000002</v>
      </c>
      <c r="N30" s="293">
        <v>286.8</v>
      </c>
      <c r="O30" s="293">
        <v>155.1</v>
      </c>
      <c r="P30" s="297">
        <v>1.8</v>
      </c>
      <c r="Q30" s="298">
        <v>352</v>
      </c>
      <c r="R30" s="295">
        <v>387.2</v>
      </c>
      <c r="S30" s="1333"/>
      <c r="T30" s="1336"/>
      <c r="U30" s="1339"/>
      <c r="V30" s="1342"/>
      <c r="W30" s="296"/>
      <c r="X30" s="264"/>
      <c r="Y30" s="264"/>
      <c r="Z30" s="264"/>
      <c r="AA30" s="264"/>
    </row>
    <row r="31" spans="1:27" ht="13.5" hidden="1" customHeight="1" outlineLevel="1" x14ac:dyDescent="0.2">
      <c r="A31" s="1344"/>
      <c r="B31" s="1125"/>
      <c r="C31" s="1127"/>
      <c r="D31" s="1301"/>
      <c r="E31" s="1303"/>
      <c r="F31" s="290" t="s">
        <v>233</v>
      </c>
      <c r="G31" s="1303"/>
      <c r="H31" s="247" t="s">
        <v>226</v>
      </c>
      <c r="I31" s="257">
        <f>J31+L31</f>
        <v>5</v>
      </c>
      <c r="J31" s="291">
        <v>5</v>
      </c>
      <c r="K31" s="292">
        <v>0</v>
      </c>
      <c r="L31" s="291">
        <v>0</v>
      </c>
      <c r="M31" s="260">
        <f>N31+P31</f>
        <v>5</v>
      </c>
      <c r="N31" s="293">
        <v>5</v>
      </c>
      <c r="O31" s="293">
        <v>0</v>
      </c>
      <c r="P31" s="297">
        <v>0</v>
      </c>
      <c r="Q31" s="298">
        <v>5</v>
      </c>
      <c r="R31" s="295">
        <v>5</v>
      </c>
      <c r="S31" s="1333"/>
      <c r="T31" s="1336"/>
      <c r="U31" s="1339"/>
      <c r="V31" s="1342"/>
      <c r="W31" s="296"/>
      <c r="X31" s="264"/>
      <c r="Y31" s="264"/>
      <c r="Z31" s="264"/>
      <c r="AA31" s="264"/>
    </row>
    <row r="32" spans="1:27" ht="13.5" hidden="1" customHeight="1" outlineLevel="1" x14ac:dyDescent="0.2">
      <c r="A32" s="1344"/>
      <c r="B32" s="1125"/>
      <c r="C32" s="1127"/>
      <c r="D32" s="1301"/>
      <c r="E32" s="1303"/>
      <c r="F32" s="246" t="s">
        <v>227</v>
      </c>
      <c r="G32" s="1303"/>
      <c r="H32" s="247" t="s">
        <v>73</v>
      </c>
      <c r="I32" s="257">
        <f>J32+L32</f>
        <v>0</v>
      </c>
      <c r="J32" s="291">
        <v>0</v>
      </c>
      <c r="K32" s="292">
        <v>0</v>
      </c>
      <c r="L32" s="291">
        <v>0</v>
      </c>
      <c r="M32" s="260">
        <f>N32+P32</f>
        <v>14.9</v>
      </c>
      <c r="N32" s="293">
        <v>14.9</v>
      </c>
      <c r="O32" s="293">
        <v>11.4</v>
      </c>
      <c r="P32" s="297">
        <v>0</v>
      </c>
      <c r="Q32" s="298">
        <v>0</v>
      </c>
      <c r="R32" s="295">
        <v>0</v>
      </c>
      <c r="S32" s="1333"/>
      <c r="T32" s="1336"/>
      <c r="U32" s="1339"/>
      <c r="V32" s="1342"/>
      <c r="W32" s="264"/>
      <c r="X32" s="264"/>
      <c r="Y32" s="264"/>
      <c r="Z32" s="264"/>
      <c r="AA32" s="264"/>
    </row>
    <row r="33" spans="1:27" ht="13.5" hidden="1" customHeight="1" outlineLevel="1" x14ac:dyDescent="0.2">
      <c r="A33" s="1344"/>
      <c r="B33" s="1125"/>
      <c r="C33" s="1127"/>
      <c r="D33" s="1301"/>
      <c r="E33" s="1303"/>
      <c r="F33" s="290"/>
      <c r="G33" s="1303"/>
      <c r="H33" s="247" t="s">
        <v>73</v>
      </c>
      <c r="I33" s="257"/>
      <c r="J33" s="291"/>
      <c r="K33" s="292"/>
      <c r="L33" s="291"/>
      <c r="M33" s="260">
        <f>N33+P33</f>
        <v>1</v>
      </c>
      <c r="N33" s="293">
        <v>1</v>
      </c>
      <c r="O33" s="293">
        <v>0.8</v>
      </c>
      <c r="P33" s="297">
        <v>0</v>
      </c>
      <c r="Q33" s="298">
        <v>0</v>
      </c>
      <c r="R33" s="295">
        <v>0</v>
      </c>
      <c r="S33" s="1333"/>
      <c r="T33" s="1337"/>
      <c r="U33" s="1340"/>
      <c r="V33" s="1297"/>
      <c r="W33" s="264"/>
      <c r="X33" s="264"/>
      <c r="Y33" s="264"/>
      <c r="Z33" s="264"/>
      <c r="AA33" s="264"/>
    </row>
    <row r="34" spans="1:27" ht="13.5" hidden="1" customHeight="1" outlineLevel="1" x14ac:dyDescent="0.2">
      <c r="A34" s="1344"/>
      <c r="B34" s="1125"/>
      <c r="C34" s="1127"/>
      <c r="D34" s="1302"/>
      <c r="E34" s="1304"/>
      <c r="F34" s="299"/>
      <c r="G34" s="1332"/>
      <c r="H34" s="279" t="s">
        <v>13</v>
      </c>
      <c r="I34" s="280">
        <f t="shared" ref="I34:R34" si="4">SUM(I29:I33)</f>
        <v>866.2</v>
      </c>
      <c r="J34" s="281">
        <f t="shared" si="4"/>
        <v>863.2</v>
      </c>
      <c r="K34" s="282">
        <f t="shared" si="4"/>
        <v>571.4</v>
      </c>
      <c r="L34" s="281">
        <f t="shared" si="4"/>
        <v>3</v>
      </c>
      <c r="M34" s="283">
        <f t="shared" si="4"/>
        <v>917.9</v>
      </c>
      <c r="N34" s="284">
        <f t="shared" si="4"/>
        <v>916.1</v>
      </c>
      <c r="O34" s="284">
        <f t="shared" si="4"/>
        <v>619.59999999999991</v>
      </c>
      <c r="P34" s="300">
        <f t="shared" si="4"/>
        <v>1.8</v>
      </c>
      <c r="Q34" s="301">
        <f t="shared" si="4"/>
        <v>844.1</v>
      </c>
      <c r="R34" s="286">
        <f t="shared" si="4"/>
        <v>830.59999999999991</v>
      </c>
      <c r="S34" s="1334"/>
      <c r="T34" s="287">
        <f>SUM(T29:T29)</f>
        <v>1</v>
      </c>
      <c r="U34" s="288">
        <f>SUM(U29:U29)</f>
        <v>1</v>
      </c>
      <c r="V34" s="289"/>
      <c r="W34" s="255"/>
      <c r="X34" s="256"/>
    </row>
    <row r="35" spans="1:27" ht="14.25" hidden="1" customHeight="1" outlineLevel="1" x14ac:dyDescent="0.2">
      <c r="A35" s="1344" t="s">
        <v>17</v>
      </c>
      <c r="B35" s="1125" t="s">
        <v>17</v>
      </c>
      <c r="C35" s="1127" t="s">
        <v>237</v>
      </c>
      <c r="D35" s="1301" t="s">
        <v>219</v>
      </c>
      <c r="E35" s="1303" t="s">
        <v>238</v>
      </c>
      <c r="F35" s="302"/>
      <c r="G35" s="1303" t="s">
        <v>239</v>
      </c>
      <c r="H35" s="247" t="s">
        <v>222</v>
      </c>
      <c r="I35" s="257">
        <f t="shared" ref="I35:I40" si="5">J35+L35</f>
        <v>246.8</v>
      </c>
      <c r="J35" s="291">
        <v>246.8</v>
      </c>
      <c r="K35" s="292">
        <v>184.1</v>
      </c>
      <c r="L35" s="291">
        <v>0</v>
      </c>
      <c r="M35" s="260">
        <f t="shared" ref="M35:M40" si="6">N35+P35</f>
        <v>302.178</v>
      </c>
      <c r="N35" s="293">
        <v>302.178</v>
      </c>
      <c r="O35" s="293">
        <v>225.68600000000001</v>
      </c>
      <c r="P35" s="297">
        <v>0</v>
      </c>
      <c r="Q35" s="298">
        <v>246.8</v>
      </c>
      <c r="R35" s="295">
        <v>246.8</v>
      </c>
      <c r="S35" s="1333" t="s">
        <v>223</v>
      </c>
      <c r="T35" s="1345">
        <v>1</v>
      </c>
      <c r="U35" s="1346">
        <v>1</v>
      </c>
      <c r="V35" s="1296"/>
      <c r="W35" s="255"/>
      <c r="X35" s="256"/>
    </row>
    <row r="36" spans="1:27" ht="14.25" hidden="1" customHeight="1" outlineLevel="1" x14ac:dyDescent="0.2">
      <c r="A36" s="1344"/>
      <c r="B36" s="1125"/>
      <c r="C36" s="1127"/>
      <c r="D36" s="1301"/>
      <c r="E36" s="1303"/>
      <c r="F36" s="290" t="s">
        <v>240</v>
      </c>
      <c r="G36" s="1303"/>
      <c r="H36" s="275" t="s">
        <v>224</v>
      </c>
      <c r="I36" s="257">
        <f t="shared" si="5"/>
        <v>159.9</v>
      </c>
      <c r="J36" s="291">
        <v>156.4</v>
      </c>
      <c r="K36" s="292">
        <v>88.8</v>
      </c>
      <c r="L36" s="291">
        <v>3.5</v>
      </c>
      <c r="M36" s="260">
        <f t="shared" si="6"/>
        <v>168.88</v>
      </c>
      <c r="N36" s="293">
        <v>168.88</v>
      </c>
      <c r="O36" s="293">
        <v>104.045</v>
      </c>
      <c r="P36" s="297">
        <v>0</v>
      </c>
      <c r="Q36" s="298">
        <v>167.9</v>
      </c>
      <c r="R36" s="295">
        <v>167.9</v>
      </c>
      <c r="S36" s="1333"/>
      <c r="T36" s="1336"/>
      <c r="U36" s="1339"/>
      <c r="V36" s="1342"/>
      <c r="W36" s="296"/>
      <c r="X36" s="264"/>
      <c r="Y36" s="264"/>
      <c r="Z36" s="264"/>
      <c r="AA36" s="264"/>
    </row>
    <row r="37" spans="1:27" ht="14.25" hidden="1" customHeight="1" outlineLevel="1" x14ac:dyDescent="0.2">
      <c r="A37" s="1344"/>
      <c r="B37" s="1125"/>
      <c r="C37" s="1127"/>
      <c r="D37" s="1301"/>
      <c r="E37" s="1303"/>
      <c r="F37" s="290" t="s">
        <v>241</v>
      </c>
      <c r="G37" s="1303"/>
      <c r="H37" s="275" t="s">
        <v>225</v>
      </c>
      <c r="I37" s="257">
        <f t="shared" si="5"/>
        <v>0</v>
      </c>
      <c r="J37" s="291">
        <v>0</v>
      </c>
      <c r="K37" s="292">
        <v>0</v>
      </c>
      <c r="L37" s="291">
        <v>0</v>
      </c>
      <c r="M37" s="260">
        <f t="shared" si="6"/>
        <v>1.3</v>
      </c>
      <c r="N37" s="293">
        <v>1.3</v>
      </c>
      <c r="O37" s="293">
        <v>0</v>
      </c>
      <c r="P37" s="297">
        <v>0</v>
      </c>
      <c r="Q37" s="298">
        <v>0</v>
      </c>
      <c r="R37" s="295">
        <v>0</v>
      </c>
      <c r="S37" s="1333"/>
      <c r="T37" s="1336"/>
      <c r="U37" s="1339"/>
      <c r="V37" s="1342"/>
      <c r="W37" s="296"/>
      <c r="X37" s="264"/>
      <c r="Y37" s="264"/>
      <c r="Z37" s="264"/>
      <c r="AA37" s="264"/>
    </row>
    <row r="38" spans="1:27" ht="14.25" hidden="1" customHeight="1" outlineLevel="1" x14ac:dyDescent="0.2">
      <c r="A38" s="1344"/>
      <c r="B38" s="1125"/>
      <c r="C38" s="1127"/>
      <c r="D38" s="1301"/>
      <c r="E38" s="1303"/>
      <c r="F38" s="290"/>
      <c r="G38" s="1303"/>
      <c r="H38" s="275" t="s">
        <v>226</v>
      </c>
      <c r="I38" s="257">
        <f t="shared" si="5"/>
        <v>0.7</v>
      </c>
      <c r="J38" s="291">
        <v>0.7</v>
      </c>
      <c r="K38" s="292">
        <v>0</v>
      </c>
      <c r="L38" s="291">
        <v>0</v>
      </c>
      <c r="M38" s="260">
        <f t="shared" si="6"/>
        <v>0.94099999999999995</v>
      </c>
      <c r="N38" s="293">
        <v>0.94099999999999995</v>
      </c>
      <c r="O38" s="293">
        <v>0</v>
      </c>
      <c r="P38" s="297">
        <v>0</v>
      </c>
      <c r="Q38" s="298">
        <v>0.7</v>
      </c>
      <c r="R38" s="295">
        <v>0.7</v>
      </c>
      <c r="S38" s="1333"/>
      <c r="T38" s="1336"/>
      <c r="U38" s="1339"/>
      <c r="V38" s="1342"/>
      <c r="W38" s="296"/>
      <c r="X38" s="264"/>
      <c r="Y38" s="264"/>
      <c r="Z38" s="264"/>
      <c r="AA38" s="264"/>
    </row>
    <row r="39" spans="1:27" ht="14.25" hidden="1" customHeight="1" outlineLevel="1" x14ac:dyDescent="0.2">
      <c r="A39" s="1344"/>
      <c r="B39" s="1125"/>
      <c r="C39" s="1127"/>
      <c r="D39" s="1301"/>
      <c r="E39" s="1303"/>
      <c r="F39" s="246" t="s">
        <v>227</v>
      </c>
      <c r="G39" s="1303"/>
      <c r="H39" s="275" t="s">
        <v>73</v>
      </c>
      <c r="I39" s="257">
        <f t="shared" si="5"/>
        <v>0</v>
      </c>
      <c r="J39" s="291">
        <v>0</v>
      </c>
      <c r="K39" s="292">
        <v>0</v>
      </c>
      <c r="L39" s="291">
        <v>0</v>
      </c>
      <c r="M39" s="260">
        <f t="shared" si="6"/>
        <v>6.3</v>
      </c>
      <c r="N39" s="293">
        <v>6.3</v>
      </c>
      <c r="O39" s="293">
        <v>4.8</v>
      </c>
      <c r="P39" s="297">
        <v>0</v>
      </c>
      <c r="Q39" s="298">
        <v>0</v>
      </c>
      <c r="R39" s="295">
        <v>0</v>
      </c>
      <c r="S39" s="1333"/>
      <c r="T39" s="1336"/>
      <c r="U39" s="1339"/>
      <c r="V39" s="1342"/>
      <c r="W39" s="264"/>
      <c r="X39" s="264"/>
      <c r="Y39" s="264"/>
      <c r="Z39" s="264"/>
      <c r="AA39" s="264"/>
    </row>
    <row r="40" spans="1:27" ht="14.25" hidden="1" customHeight="1" outlineLevel="1" x14ac:dyDescent="0.2">
      <c r="A40" s="1344"/>
      <c r="B40" s="1125"/>
      <c r="C40" s="1127"/>
      <c r="D40" s="1301"/>
      <c r="E40" s="1303"/>
      <c r="F40" s="290"/>
      <c r="G40" s="1303"/>
      <c r="H40" s="275" t="s">
        <v>73</v>
      </c>
      <c r="I40" s="257">
        <f t="shared" si="5"/>
        <v>0</v>
      </c>
      <c r="J40" s="291">
        <v>0</v>
      </c>
      <c r="K40" s="292">
        <v>0</v>
      </c>
      <c r="L40" s="291">
        <v>0</v>
      </c>
      <c r="M40" s="260">
        <f t="shared" si="6"/>
        <v>2.5</v>
      </c>
      <c r="N40" s="293">
        <v>2.5</v>
      </c>
      <c r="O40" s="293">
        <v>1.9</v>
      </c>
      <c r="P40" s="297">
        <v>0</v>
      </c>
      <c r="Q40" s="298">
        <v>0</v>
      </c>
      <c r="R40" s="295">
        <v>0</v>
      </c>
      <c r="S40" s="1333"/>
      <c r="T40" s="1337"/>
      <c r="U40" s="1340"/>
      <c r="V40" s="1297"/>
      <c r="W40" s="264"/>
      <c r="X40" s="264"/>
      <c r="Y40" s="264"/>
      <c r="Z40" s="264"/>
      <c r="AA40" s="264"/>
    </row>
    <row r="41" spans="1:27" ht="14.25" hidden="1" customHeight="1" outlineLevel="1" x14ac:dyDescent="0.2">
      <c r="A41" s="1344"/>
      <c r="B41" s="1125"/>
      <c r="C41" s="1127"/>
      <c r="D41" s="1302"/>
      <c r="E41" s="1304"/>
      <c r="F41" s="299"/>
      <c r="G41" s="1332"/>
      <c r="H41" s="279" t="s">
        <v>13</v>
      </c>
      <c r="I41" s="280">
        <f t="shared" ref="I41:P41" si="7">SUM(I35:I40)</f>
        <v>407.40000000000003</v>
      </c>
      <c r="J41" s="281">
        <f t="shared" si="7"/>
        <v>403.90000000000003</v>
      </c>
      <c r="K41" s="282">
        <f t="shared" si="7"/>
        <v>272.89999999999998</v>
      </c>
      <c r="L41" s="281">
        <f t="shared" si="7"/>
        <v>3.5</v>
      </c>
      <c r="M41" s="283">
        <f t="shared" si="7"/>
        <v>482.09899999999999</v>
      </c>
      <c r="N41" s="284">
        <f t="shared" si="7"/>
        <v>482.09899999999999</v>
      </c>
      <c r="O41" s="284">
        <f t="shared" si="7"/>
        <v>336.43099999999998</v>
      </c>
      <c r="P41" s="300">
        <f t="shared" si="7"/>
        <v>0</v>
      </c>
      <c r="Q41" s="301">
        <f>SUM(Q35:Q40)</f>
        <v>415.40000000000003</v>
      </c>
      <c r="R41" s="286">
        <f>SUM(R35:R40)</f>
        <v>415.40000000000003</v>
      </c>
      <c r="S41" s="1334"/>
      <c r="T41" s="287">
        <f>SUM(T35:T35)</f>
        <v>1</v>
      </c>
      <c r="U41" s="288">
        <f>SUM(U35:U35)</f>
        <v>1</v>
      </c>
      <c r="V41" s="289"/>
      <c r="W41" s="255"/>
      <c r="X41" s="256"/>
    </row>
    <row r="42" spans="1:27" ht="14.25" hidden="1" customHeight="1" outlineLevel="1" x14ac:dyDescent="0.2">
      <c r="A42" s="1344" t="s">
        <v>17</v>
      </c>
      <c r="B42" s="1125" t="s">
        <v>17</v>
      </c>
      <c r="C42" s="1127" t="s">
        <v>242</v>
      </c>
      <c r="D42" s="1301" t="s">
        <v>219</v>
      </c>
      <c r="E42" s="1303" t="s">
        <v>230</v>
      </c>
      <c r="F42" s="290"/>
      <c r="G42" s="1303" t="s">
        <v>243</v>
      </c>
      <c r="H42" s="247" t="s">
        <v>222</v>
      </c>
      <c r="I42" s="257">
        <f>J42+L42</f>
        <v>204.1</v>
      </c>
      <c r="J42" s="291">
        <v>204.1</v>
      </c>
      <c r="K42" s="292">
        <v>151.9</v>
      </c>
      <c r="L42" s="291">
        <v>0</v>
      </c>
      <c r="M42" s="260">
        <f>N42+P42</f>
        <v>240.8</v>
      </c>
      <c r="N42" s="293">
        <v>240.8</v>
      </c>
      <c r="O42" s="293">
        <v>180.8</v>
      </c>
      <c r="P42" s="297">
        <v>0</v>
      </c>
      <c r="Q42" s="298">
        <v>224.5</v>
      </c>
      <c r="R42" s="295">
        <v>247</v>
      </c>
      <c r="S42" s="1333" t="s">
        <v>223</v>
      </c>
      <c r="T42" s="1345">
        <v>1</v>
      </c>
      <c r="U42" s="1346">
        <v>1</v>
      </c>
      <c r="V42" s="1296"/>
      <c r="W42" s="255"/>
      <c r="X42" s="256"/>
    </row>
    <row r="43" spans="1:27" ht="14.25" hidden="1" customHeight="1" outlineLevel="1" x14ac:dyDescent="0.2">
      <c r="A43" s="1344"/>
      <c r="B43" s="1125"/>
      <c r="C43" s="1127"/>
      <c r="D43" s="1301"/>
      <c r="E43" s="1303"/>
      <c r="F43" s="290" t="s">
        <v>244</v>
      </c>
      <c r="G43" s="1303"/>
      <c r="H43" s="275" t="s">
        <v>224</v>
      </c>
      <c r="I43" s="257">
        <f>J43+L43</f>
        <v>149.1</v>
      </c>
      <c r="J43" s="291">
        <v>149.1</v>
      </c>
      <c r="K43" s="292">
        <v>83.2</v>
      </c>
      <c r="L43" s="291">
        <v>0</v>
      </c>
      <c r="M43" s="260">
        <f>N43+P43</f>
        <v>160.80000000000001</v>
      </c>
      <c r="N43" s="293">
        <v>160.80000000000001</v>
      </c>
      <c r="O43" s="293">
        <v>91.8</v>
      </c>
      <c r="P43" s="297">
        <v>0</v>
      </c>
      <c r="Q43" s="298">
        <v>164</v>
      </c>
      <c r="R43" s="295">
        <v>180.4</v>
      </c>
      <c r="S43" s="1333"/>
      <c r="T43" s="1336"/>
      <c r="U43" s="1339"/>
      <c r="V43" s="1342"/>
      <c r="W43" s="296"/>
      <c r="X43" s="264"/>
      <c r="Y43" s="264"/>
      <c r="Z43" s="264"/>
      <c r="AA43" s="264"/>
    </row>
    <row r="44" spans="1:27" ht="14.25" hidden="1" customHeight="1" outlineLevel="1" x14ac:dyDescent="0.2">
      <c r="A44" s="1344"/>
      <c r="B44" s="1125"/>
      <c r="C44" s="1127"/>
      <c r="D44" s="1301"/>
      <c r="E44" s="1303"/>
      <c r="F44" s="290" t="s">
        <v>241</v>
      </c>
      <c r="G44" s="1303"/>
      <c r="H44" s="275" t="s">
        <v>226</v>
      </c>
      <c r="I44" s="257">
        <f>J44+L44</f>
        <v>1.8</v>
      </c>
      <c r="J44" s="291">
        <v>1.8</v>
      </c>
      <c r="K44" s="292">
        <v>0</v>
      </c>
      <c r="L44" s="291">
        <v>0</v>
      </c>
      <c r="M44" s="260">
        <f>N44+P44</f>
        <v>1.8</v>
      </c>
      <c r="N44" s="293">
        <v>1.8</v>
      </c>
      <c r="O44" s="293">
        <v>0</v>
      </c>
      <c r="P44" s="297">
        <v>0</v>
      </c>
      <c r="Q44" s="298">
        <v>1.8</v>
      </c>
      <c r="R44" s="295">
        <v>2</v>
      </c>
      <c r="S44" s="1333"/>
      <c r="T44" s="1336"/>
      <c r="U44" s="1339"/>
      <c r="V44" s="1342"/>
      <c r="W44" s="296"/>
      <c r="X44" s="264"/>
      <c r="Y44" s="264"/>
      <c r="Z44" s="264"/>
      <c r="AA44" s="264"/>
    </row>
    <row r="45" spans="1:27" ht="14.25" hidden="1" customHeight="1" outlineLevel="1" x14ac:dyDescent="0.2">
      <c r="A45" s="1344"/>
      <c r="B45" s="1125"/>
      <c r="C45" s="1127"/>
      <c r="D45" s="1301"/>
      <c r="E45" s="1303"/>
      <c r="F45" s="246" t="s">
        <v>227</v>
      </c>
      <c r="G45" s="1303"/>
      <c r="H45" s="275" t="s">
        <v>73</v>
      </c>
      <c r="I45" s="257">
        <f>J45+L45</f>
        <v>0</v>
      </c>
      <c r="J45" s="291">
        <v>0</v>
      </c>
      <c r="K45" s="292">
        <v>0</v>
      </c>
      <c r="L45" s="291">
        <v>0</v>
      </c>
      <c r="M45" s="260">
        <f>N45+P45</f>
        <v>5.2</v>
      </c>
      <c r="N45" s="293">
        <v>5.2</v>
      </c>
      <c r="O45" s="293">
        <v>4</v>
      </c>
      <c r="P45" s="297">
        <v>0</v>
      </c>
      <c r="Q45" s="298">
        <v>0</v>
      </c>
      <c r="R45" s="295">
        <v>0</v>
      </c>
      <c r="S45" s="1333"/>
      <c r="T45" s="1336"/>
      <c r="U45" s="1339"/>
      <c r="V45" s="1342"/>
      <c r="W45" s="264"/>
      <c r="X45" s="264"/>
      <c r="Y45" s="264"/>
      <c r="Z45" s="264"/>
      <c r="AA45" s="264"/>
    </row>
    <row r="46" spans="1:27" ht="14.25" hidden="1" customHeight="1" outlineLevel="1" x14ac:dyDescent="0.2">
      <c r="A46" s="1344"/>
      <c r="B46" s="1125"/>
      <c r="C46" s="1127"/>
      <c r="D46" s="1301"/>
      <c r="E46" s="1303"/>
      <c r="F46" s="290"/>
      <c r="G46" s="1303"/>
      <c r="H46" s="275" t="s">
        <v>73</v>
      </c>
      <c r="I46" s="257">
        <f>J46+L46</f>
        <v>0</v>
      </c>
      <c r="J46" s="291">
        <v>0</v>
      </c>
      <c r="K46" s="292">
        <v>0</v>
      </c>
      <c r="L46" s="291">
        <v>0</v>
      </c>
      <c r="M46" s="260">
        <f>N46+P46</f>
        <v>2</v>
      </c>
      <c r="N46" s="293">
        <v>2</v>
      </c>
      <c r="O46" s="293">
        <v>1.6</v>
      </c>
      <c r="P46" s="297">
        <v>0</v>
      </c>
      <c r="Q46" s="298">
        <v>0</v>
      </c>
      <c r="R46" s="295">
        <v>0</v>
      </c>
      <c r="S46" s="1333"/>
      <c r="T46" s="1337"/>
      <c r="U46" s="1340"/>
      <c r="V46" s="1297"/>
      <c r="W46" s="264"/>
      <c r="X46" s="264"/>
      <c r="Y46" s="264"/>
      <c r="Z46" s="264"/>
      <c r="AA46" s="264"/>
    </row>
    <row r="47" spans="1:27" ht="14.25" hidden="1" customHeight="1" outlineLevel="1" x14ac:dyDescent="0.2">
      <c r="A47" s="1344"/>
      <c r="B47" s="1125"/>
      <c r="C47" s="1127"/>
      <c r="D47" s="1302"/>
      <c r="E47" s="1304"/>
      <c r="F47" s="299"/>
      <c r="G47" s="1332"/>
      <c r="H47" s="279" t="s">
        <v>13</v>
      </c>
      <c r="I47" s="280">
        <f>SUM(I42:I45)</f>
        <v>355</v>
      </c>
      <c r="J47" s="281">
        <f>SUM(J42:J46)</f>
        <v>355</v>
      </c>
      <c r="K47" s="282">
        <f>SUM(K42:K46)</f>
        <v>235.10000000000002</v>
      </c>
      <c r="L47" s="281">
        <f>SUM(L42:L44)</f>
        <v>0</v>
      </c>
      <c r="M47" s="283">
        <f t="shared" ref="M47:R47" si="8">SUM(M42:M46)</f>
        <v>410.6</v>
      </c>
      <c r="N47" s="284">
        <f t="shared" si="8"/>
        <v>410.6</v>
      </c>
      <c r="O47" s="284">
        <f t="shared" si="8"/>
        <v>278.20000000000005</v>
      </c>
      <c r="P47" s="300">
        <f t="shared" si="8"/>
        <v>0</v>
      </c>
      <c r="Q47" s="301">
        <f t="shared" si="8"/>
        <v>390.3</v>
      </c>
      <c r="R47" s="286">
        <f t="shared" si="8"/>
        <v>429.4</v>
      </c>
      <c r="S47" s="1334"/>
      <c r="T47" s="287">
        <f>SUM(T42:T42)</f>
        <v>1</v>
      </c>
      <c r="U47" s="288">
        <f>SUM(U42:U42)</f>
        <v>1</v>
      </c>
      <c r="V47" s="289"/>
      <c r="W47" s="255"/>
      <c r="X47" s="256"/>
    </row>
    <row r="48" spans="1:27" ht="15.75" hidden="1" customHeight="1" outlineLevel="1" x14ac:dyDescent="0.2">
      <c r="A48" s="1344" t="s">
        <v>17</v>
      </c>
      <c r="B48" s="1125" t="s">
        <v>17</v>
      </c>
      <c r="C48" s="1127" t="s">
        <v>245</v>
      </c>
      <c r="D48" s="1301" t="s">
        <v>219</v>
      </c>
      <c r="E48" s="1303" t="s">
        <v>230</v>
      </c>
      <c r="F48" s="290"/>
      <c r="G48" s="1303" t="s">
        <v>246</v>
      </c>
      <c r="H48" s="247" t="s">
        <v>222</v>
      </c>
      <c r="I48" s="257">
        <f t="shared" ref="I48:I53" si="9">J48+L48</f>
        <v>373.5</v>
      </c>
      <c r="J48" s="291">
        <v>373.5</v>
      </c>
      <c r="K48" s="292">
        <v>278.2</v>
      </c>
      <c r="L48" s="291">
        <v>0</v>
      </c>
      <c r="M48" s="260">
        <f t="shared" ref="M48:M53" si="10">N48+P48</f>
        <v>385.6</v>
      </c>
      <c r="N48" s="293">
        <v>385.6</v>
      </c>
      <c r="O48" s="293">
        <v>287.39999999999998</v>
      </c>
      <c r="P48" s="297">
        <v>0</v>
      </c>
      <c r="Q48" s="298">
        <v>380</v>
      </c>
      <c r="R48" s="295">
        <v>382</v>
      </c>
      <c r="S48" s="1333" t="s">
        <v>223</v>
      </c>
      <c r="T48" s="1345">
        <v>1</v>
      </c>
      <c r="U48" s="1346">
        <v>1</v>
      </c>
      <c r="V48" s="1296"/>
      <c r="W48" s="255"/>
      <c r="X48" s="256"/>
    </row>
    <row r="49" spans="1:27" ht="15.75" hidden="1" customHeight="1" outlineLevel="1" x14ac:dyDescent="0.2">
      <c r="A49" s="1344"/>
      <c r="B49" s="1125"/>
      <c r="C49" s="1127"/>
      <c r="D49" s="1301"/>
      <c r="E49" s="1303"/>
      <c r="F49" s="290" t="s">
        <v>247</v>
      </c>
      <c r="G49" s="1303"/>
      <c r="H49" s="275" t="s">
        <v>224</v>
      </c>
      <c r="I49" s="257">
        <f t="shared" si="9"/>
        <v>241.79999999999998</v>
      </c>
      <c r="J49" s="291">
        <v>228.1</v>
      </c>
      <c r="K49" s="292">
        <v>134.80000000000001</v>
      </c>
      <c r="L49" s="291">
        <v>13.7</v>
      </c>
      <c r="M49" s="260">
        <f t="shared" si="10"/>
        <v>216.39999999999998</v>
      </c>
      <c r="N49" s="293">
        <v>207.7</v>
      </c>
      <c r="O49" s="293">
        <v>121.7</v>
      </c>
      <c r="P49" s="297">
        <v>8.6999999999999993</v>
      </c>
      <c r="Q49" s="298">
        <v>212</v>
      </c>
      <c r="R49" s="295">
        <v>217</v>
      </c>
      <c r="S49" s="1333"/>
      <c r="T49" s="1336"/>
      <c r="U49" s="1339"/>
      <c r="V49" s="1342"/>
      <c r="W49" s="296"/>
      <c r="X49" s="264"/>
      <c r="Y49" s="264"/>
      <c r="Z49" s="264"/>
      <c r="AA49" s="264"/>
    </row>
    <row r="50" spans="1:27" ht="15.75" hidden="1" customHeight="1" outlineLevel="1" x14ac:dyDescent="0.2">
      <c r="A50" s="1344"/>
      <c r="B50" s="1125"/>
      <c r="C50" s="1127"/>
      <c r="D50" s="1301"/>
      <c r="E50" s="1303"/>
      <c r="F50" s="290" t="s">
        <v>233</v>
      </c>
      <c r="G50" s="1303"/>
      <c r="H50" s="275" t="s">
        <v>226</v>
      </c>
      <c r="I50" s="257">
        <f t="shared" si="9"/>
        <v>2</v>
      </c>
      <c r="J50" s="291">
        <v>2</v>
      </c>
      <c r="K50" s="292">
        <v>0</v>
      </c>
      <c r="L50" s="291">
        <v>0</v>
      </c>
      <c r="M50" s="260">
        <f t="shared" si="10"/>
        <v>2.8</v>
      </c>
      <c r="N50" s="293">
        <v>2.8</v>
      </c>
      <c r="O50" s="293">
        <v>0</v>
      </c>
      <c r="P50" s="297">
        <v>0</v>
      </c>
      <c r="Q50" s="298">
        <v>2.2999999999999998</v>
      </c>
      <c r="R50" s="295">
        <v>2.2999999999999998</v>
      </c>
      <c r="S50" s="1333"/>
      <c r="T50" s="1336"/>
      <c r="U50" s="1339"/>
      <c r="V50" s="1342"/>
      <c r="W50" s="296"/>
      <c r="X50" s="264"/>
      <c r="Y50" s="264"/>
      <c r="Z50" s="264"/>
      <c r="AA50" s="264"/>
    </row>
    <row r="51" spans="1:27" ht="15.75" hidden="1" customHeight="1" outlineLevel="1" x14ac:dyDescent="0.2">
      <c r="A51" s="1344"/>
      <c r="B51" s="1125"/>
      <c r="C51" s="1127"/>
      <c r="D51" s="1301"/>
      <c r="E51" s="1303"/>
      <c r="F51" s="246" t="s">
        <v>227</v>
      </c>
      <c r="G51" s="1303"/>
      <c r="H51" s="275" t="s">
        <v>73</v>
      </c>
      <c r="I51" s="257">
        <f t="shared" si="9"/>
        <v>0</v>
      </c>
      <c r="J51" s="291">
        <v>0</v>
      </c>
      <c r="K51" s="292">
        <v>0</v>
      </c>
      <c r="L51" s="291">
        <v>0</v>
      </c>
      <c r="M51" s="260">
        <f t="shared" si="10"/>
        <v>9.1999999999999993</v>
      </c>
      <c r="N51" s="293">
        <v>9.1999999999999993</v>
      </c>
      <c r="O51" s="293">
        <v>7</v>
      </c>
      <c r="P51" s="297">
        <v>0</v>
      </c>
      <c r="Q51" s="298">
        <v>0</v>
      </c>
      <c r="R51" s="295">
        <v>0</v>
      </c>
      <c r="S51" s="1333"/>
      <c r="T51" s="1336"/>
      <c r="U51" s="1339"/>
      <c r="V51" s="1342"/>
      <c r="W51" s="264"/>
      <c r="X51" s="264"/>
      <c r="Y51" s="264"/>
      <c r="Z51" s="264"/>
      <c r="AA51" s="264"/>
    </row>
    <row r="52" spans="1:27" ht="15.75" hidden="1" customHeight="1" outlineLevel="1" x14ac:dyDescent="0.2">
      <c r="A52" s="1344"/>
      <c r="B52" s="1125"/>
      <c r="C52" s="1127"/>
      <c r="D52" s="1301"/>
      <c r="E52" s="1303"/>
      <c r="F52" s="290"/>
      <c r="G52" s="1303"/>
      <c r="H52" s="275" t="s">
        <v>73</v>
      </c>
      <c r="I52" s="257">
        <f t="shared" si="9"/>
        <v>0</v>
      </c>
      <c r="J52" s="291">
        <v>0</v>
      </c>
      <c r="K52" s="292">
        <v>0</v>
      </c>
      <c r="L52" s="291">
        <v>0</v>
      </c>
      <c r="M52" s="260">
        <f t="shared" si="10"/>
        <v>1.1000000000000001</v>
      </c>
      <c r="N52" s="293">
        <v>1.1000000000000001</v>
      </c>
      <c r="O52" s="293">
        <v>0.9</v>
      </c>
      <c r="P52" s="297">
        <v>0</v>
      </c>
      <c r="Q52" s="298">
        <v>0</v>
      </c>
      <c r="R52" s="295">
        <v>0</v>
      </c>
      <c r="S52" s="1333"/>
      <c r="T52" s="1336"/>
      <c r="U52" s="1339"/>
      <c r="V52" s="1342"/>
      <c r="W52" s="264"/>
      <c r="X52" s="264"/>
      <c r="Y52" s="264"/>
      <c r="Z52" s="264"/>
      <c r="AA52" s="264"/>
    </row>
    <row r="53" spans="1:27" ht="15.75" hidden="1" customHeight="1" outlineLevel="1" x14ac:dyDescent="0.2">
      <c r="A53" s="1344"/>
      <c r="B53" s="1125"/>
      <c r="C53" s="1127"/>
      <c r="D53" s="1301"/>
      <c r="E53" s="1303"/>
      <c r="F53" s="303" t="s">
        <v>248</v>
      </c>
      <c r="G53" s="1303"/>
      <c r="H53" s="275" t="s">
        <v>73</v>
      </c>
      <c r="I53" s="257">
        <f t="shared" si="9"/>
        <v>0</v>
      </c>
      <c r="J53" s="291">
        <v>0</v>
      </c>
      <c r="K53" s="292">
        <v>0</v>
      </c>
      <c r="L53" s="291">
        <v>0</v>
      </c>
      <c r="M53" s="260">
        <f t="shared" si="10"/>
        <v>9.7050000000000001</v>
      </c>
      <c r="N53" s="293">
        <v>9.7050000000000001</v>
      </c>
      <c r="O53" s="293">
        <v>7.4130000000000003</v>
      </c>
      <c r="P53" s="297">
        <v>0</v>
      </c>
      <c r="Q53" s="298">
        <v>0</v>
      </c>
      <c r="R53" s="295">
        <v>0</v>
      </c>
      <c r="S53" s="1333"/>
      <c r="T53" s="1337"/>
      <c r="U53" s="1340"/>
      <c r="V53" s="1297"/>
      <c r="W53" s="264"/>
      <c r="X53" s="264"/>
      <c r="Y53" s="264"/>
      <c r="Z53" s="264"/>
      <c r="AA53" s="264"/>
    </row>
    <row r="54" spans="1:27" ht="15.75" hidden="1" customHeight="1" outlineLevel="1" x14ac:dyDescent="0.2">
      <c r="A54" s="1344"/>
      <c r="B54" s="1125"/>
      <c r="C54" s="1127"/>
      <c r="D54" s="1302"/>
      <c r="E54" s="1304"/>
      <c r="F54" s="299"/>
      <c r="G54" s="1332"/>
      <c r="H54" s="279" t="s">
        <v>13</v>
      </c>
      <c r="I54" s="280">
        <f>SUM(I48:I52)</f>
        <v>617.29999999999995</v>
      </c>
      <c r="J54" s="281">
        <f t="shared" ref="J54:R54" si="11">SUM(J48:J53)</f>
        <v>603.6</v>
      </c>
      <c r="K54" s="282">
        <f t="shared" si="11"/>
        <v>413</v>
      </c>
      <c r="L54" s="281">
        <f t="shared" si="11"/>
        <v>13.7</v>
      </c>
      <c r="M54" s="283">
        <f t="shared" si="11"/>
        <v>624.80500000000006</v>
      </c>
      <c r="N54" s="284">
        <f t="shared" si="11"/>
        <v>616.10500000000002</v>
      </c>
      <c r="O54" s="284">
        <f t="shared" si="11"/>
        <v>424.41299999999995</v>
      </c>
      <c r="P54" s="300">
        <f t="shared" si="11"/>
        <v>8.6999999999999993</v>
      </c>
      <c r="Q54" s="301">
        <f t="shared" si="11"/>
        <v>594.29999999999995</v>
      </c>
      <c r="R54" s="286">
        <f t="shared" si="11"/>
        <v>601.29999999999995</v>
      </c>
      <c r="S54" s="1334"/>
      <c r="T54" s="287">
        <f>SUM(T48:T48)</f>
        <v>1</v>
      </c>
      <c r="U54" s="288">
        <f>SUM(U48:U48)</f>
        <v>1</v>
      </c>
      <c r="V54" s="289"/>
      <c r="W54" s="255"/>
      <c r="X54" s="256"/>
    </row>
    <row r="55" spans="1:27" ht="15.75" hidden="1" customHeight="1" outlineLevel="1" x14ac:dyDescent="0.2">
      <c r="A55" s="1344" t="s">
        <v>17</v>
      </c>
      <c r="B55" s="1125" t="s">
        <v>17</v>
      </c>
      <c r="C55" s="1127" t="s">
        <v>249</v>
      </c>
      <c r="D55" s="1301" t="s">
        <v>219</v>
      </c>
      <c r="E55" s="1303" t="s">
        <v>250</v>
      </c>
      <c r="F55" s="290"/>
      <c r="G55" s="1303" t="s">
        <v>251</v>
      </c>
      <c r="H55" s="247" t="s">
        <v>222</v>
      </c>
      <c r="I55" s="257">
        <f>J55+L55</f>
        <v>206.4</v>
      </c>
      <c r="J55" s="291">
        <v>206.4</v>
      </c>
      <c r="K55" s="292">
        <v>153.6</v>
      </c>
      <c r="L55" s="291">
        <v>0</v>
      </c>
      <c r="M55" s="260">
        <f>N55+P55</f>
        <v>245</v>
      </c>
      <c r="N55" s="293">
        <v>245</v>
      </c>
      <c r="O55" s="293">
        <v>183.2</v>
      </c>
      <c r="P55" s="297">
        <v>0</v>
      </c>
      <c r="Q55" s="298">
        <v>220</v>
      </c>
      <c r="R55" s="295">
        <v>215</v>
      </c>
      <c r="S55" s="1333" t="s">
        <v>223</v>
      </c>
      <c r="T55" s="1345">
        <v>1</v>
      </c>
      <c r="U55" s="1346">
        <v>1</v>
      </c>
      <c r="V55" s="1296"/>
      <c r="W55" s="255"/>
      <c r="X55" s="256"/>
    </row>
    <row r="56" spans="1:27" ht="15.75" hidden="1" customHeight="1" outlineLevel="1" x14ac:dyDescent="0.2">
      <c r="A56" s="1344"/>
      <c r="B56" s="1125"/>
      <c r="C56" s="1127"/>
      <c r="D56" s="1301"/>
      <c r="E56" s="1303"/>
      <c r="F56" s="290" t="s">
        <v>252</v>
      </c>
      <c r="G56" s="1303"/>
      <c r="H56" s="275" t="s">
        <v>224</v>
      </c>
      <c r="I56" s="257">
        <f>J56+L56</f>
        <v>186.5</v>
      </c>
      <c r="J56" s="291">
        <v>175.1</v>
      </c>
      <c r="K56" s="292">
        <v>107.3</v>
      </c>
      <c r="L56" s="291">
        <v>11.4</v>
      </c>
      <c r="M56" s="260">
        <f>N56+P56</f>
        <v>143.6</v>
      </c>
      <c r="N56" s="293">
        <v>143.6</v>
      </c>
      <c r="O56" s="293">
        <v>88.1</v>
      </c>
      <c r="P56" s="297">
        <v>0</v>
      </c>
      <c r="Q56" s="298">
        <v>205</v>
      </c>
      <c r="R56" s="295">
        <v>225</v>
      </c>
      <c r="S56" s="1333"/>
      <c r="T56" s="1336"/>
      <c r="U56" s="1339"/>
      <c r="V56" s="1342"/>
      <c r="W56" s="296"/>
      <c r="X56" s="264"/>
      <c r="Y56" s="264"/>
      <c r="Z56" s="264"/>
      <c r="AA56" s="264"/>
    </row>
    <row r="57" spans="1:27" ht="15.75" hidden="1" customHeight="1" outlineLevel="1" x14ac:dyDescent="0.2">
      <c r="A57" s="1344"/>
      <c r="B57" s="1125"/>
      <c r="C57" s="1127"/>
      <c r="D57" s="1301"/>
      <c r="E57" s="1303"/>
      <c r="F57" s="290" t="s">
        <v>241</v>
      </c>
      <c r="G57" s="1303"/>
      <c r="H57" s="275" t="s">
        <v>226</v>
      </c>
      <c r="I57" s="257">
        <f>J57+L57</f>
        <v>2</v>
      </c>
      <c r="J57" s="291">
        <v>2</v>
      </c>
      <c r="K57" s="292">
        <v>0</v>
      </c>
      <c r="L57" s="291">
        <v>0</v>
      </c>
      <c r="M57" s="260">
        <f>N57+P57</f>
        <v>2</v>
      </c>
      <c r="N57" s="293">
        <v>2</v>
      </c>
      <c r="O57" s="293">
        <v>0</v>
      </c>
      <c r="P57" s="297">
        <v>0</v>
      </c>
      <c r="Q57" s="298">
        <v>2</v>
      </c>
      <c r="R57" s="295">
        <v>2</v>
      </c>
      <c r="S57" s="1333"/>
      <c r="T57" s="1336"/>
      <c r="U57" s="1339"/>
      <c r="V57" s="1342"/>
      <c r="W57" s="296"/>
      <c r="X57" s="264"/>
      <c r="Y57" s="264"/>
      <c r="Z57" s="264"/>
      <c r="AA57" s="264"/>
    </row>
    <row r="58" spans="1:27" ht="15.75" hidden="1" customHeight="1" outlineLevel="1" x14ac:dyDescent="0.2">
      <c r="A58" s="1344"/>
      <c r="B58" s="1125"/>
      <c r="C58" s="1127"/>
      <c r="D58" s="1301"/>
      <c r="E58" s="1303"/>
      <c r="F58" s="246" t="s">
        <v>227</v>
      </c>
      <c r="G58" s="1303"/>
      <c r="H58" s="275" t="s">
        <v>73</v>
      </c>
      <c r="I58" s="257">
        <f>J58+L58</f>
        <v>0</v>
      </c>
      <c r="J58" s="291">
        <v>0</v>
      </c>
      <c r="K58" s="292">
        <v>0</v>
      </c>
      <c r="L58" s="291">
        <v>0</v>
      </c>
      <c r="M58" s="260">
        <f>N58+P58</f>
        <v>6.2</v>
      </c>
      <c r="N58" s="293">
        <v>6.2</v>
      </c>
      <c r="O58" s="293">
        <v>4.8</v>
      </c>
      <c r="P58" s="297">
        <v>0</v>
      </c>
      <c r="Q58" s="298">
        <v>0</v>
      </c>
      <c r="R58" s="295">
        <v>0</v>
      </c>
      <c r="S58" s="1333"/>
      <c r="T58" s="1336"/>
      <c r="U58" s="1339"/>
      <c r="V58" s="1342"/>
      <c r="W58" s="264"/>
      <c r="X58" s="264"/>
      <c r="Y58" s="264"/>
      <c r="Z58" s="264"/>
      <c r="AA58" s="264"/>
    </row>
    <row r="59" spans="1:27" ht="15.75" hidden="1" customHeight="1" outlineLevel="1" x14ac:dyDescent="0.2">
      <c r="A59" s="1344"/>
      <c r="B59" s="1125"/>
      <c r="C59" s="1127"/>
      <c r="D59" s="1301"/>
      <c r="E59" s="1303"/>
      <c r="F59" s="290"/>
      <c r="G59" s="1303"/>
      <c r="H59" s="275" t="s">
        <v>73</v>
      </c>
      <c r="I59" s="257">
        <f>J59+L59</f>
        <v>0</v>
      </c>
      <c r="J59" s="291">
        <v>0</v>
      </c>
      <c r="K59" s="292">
        <v>0</v>
      </c>
      <c r="L59" s="291">
        <v>0</v>
      </c>
      <c r="M59" s="260">
        <f>N59+P59</f>
        <v>2.2000000000000002</v>
      </c>
      <c r="N59" s="293">
        <v>2.2000000000000002</v>
      </c>
      <c r="O59" s="293">
        <v>1.7</v>
      </c>
      <c r="P59" s="297">
        <v>0</v>
      </c>
      <c r="Q59" s="298">
        <v>0</v>
      </c>
      <c r="R59" s="295">
        <v>0</v>
      </c>
      <c r="S59" s="1333"/>
      <c r="T59" s="1337"/>
      <c r="U59" s="1340"/>
      <c r="V59" s="1297"/>
      <c r="W59" s="264"/>
      <c r="X59" s="264"/>
      <c r="Y59" s="264"/>
      <c r="Z59" s="264"/>
      <c r="AA59" s="264"/>
    </row>
    <row r="60" spans="1:27" ht="15.75" hidden="1" customHeight="1" outlineLevel="1" x14ac:dyDescent="0.2">
      <c r="A60" s="1344"/>
      <c r="B60" s="1125"/>
      <c r="C60" s="1127"/>
      <c r="D60" s="1302"/>
      <c r="E60" s="1304"/>
      <c r="F60" s="299"/>
      <c r="G60" s="1332"/>
      <c r="H60" s="279" t="s">
        <v>13</v>
      </c>
      <c r="I60" s="280">
        <f>SUM(I55:I58)</f>
        <v>394.9</v>
      </c>
      <c r="J60" s="281">
        <f t="shared" ref="J60:R60" si="12">SUM(J55:J59)</f>
        <v>383.5</v>
      </c>
      <c r="K60" s="282">
        <f t="shared" si="12"/>
        <v>260.89999999999998</v>
      </c>
      <c r="L60" s="281">
        <f t="shared" si="12"/>
        <v>11.4</v>
      </c>
      <c r="M60" s="283">
        <f t="shared" si="12"/>
        <v>399</v>
      </c>
      <c r="N60" s="284">
        <f t="shared" si="12"/>
        <v>399</v>
      </c>
      <c r="O60" s="284">
        <f t="shared" si="12"/>
        <v>277.79999999999995</v>
      </c>
      <c r="P60" s="300">
        <f t="shared" si="12"/>
        <v>0</v>
      </c>
      <c r="Q60" s="301">
        <f t="shared" si="12"/>
        <v>427</v>
      </c>
      <c r="R60" s="286">
        <f t="shared" si="12"/>
        <v>442</v>
      </c>
      <c r="S60" s="1334"/>
      <c r="T60" s="287">
        <f>SUM(T55:T55)</f>
        <v>1</v>
      </c>
      <c r="U60" s="288">
        <f>SUM(U55:U55)</f>
        <v>1</v>
      </c>
      <c r="V60" s="289"/>
      <c r="W60" s="255"/>
      <c r="X60" s="256"/>
    </row>
    <row r="61" spans="1:27" ht="15.75" hidden="1" customHeight="1" outlineLevel="1" x14ac:dyDescent="0.2">
      <c r="A61" s="1344" t="s">
        <v>17</v>
      </c>
      <c r="B61" s="1125" t="s">
        <v>17</v>
      </c>
      <c r="C61" s="1127" t="s">
        <v>253</v>
      </c>
      <c r="D61" s="1301" t="s">
        <v>219</v>
      </c>
      <c r="E61" s="1303" t="s">
        <v>238</v>
      </c>
      <c r="F61" s="290"/>
      <c r="G61" s="1303" t="s">
        <v>254</v>
      </c>
      <c r="H61" s="247" t="s">
        <v>222</v>
      </c>
      <c r="I61" s="257">
        <f>J61+L61</f>
        <v>95.8</v>
      </c>
      <c r="J61" s="291">
        <v>95.8</v>
      </c>
      <c r="K61" s="292">
        <v>71.599999999999994</v>
      </c>
      <c r="L61" s="291">
        <v>0</v>
      </c>
      <c r="M61" s="260">
        <f>N61+P61</f>
        <v>99.224999999999994</v>
      </c>
      <c r="N61" s="293">
        <v>99.224999999999994</v>
      </c>
      <c r="O61" s="293">
        <v>74.900000000000006</v>
      </c>
      <c r="P61" s="297">
        <v>0</v>
      </c>
      <c r="Q61" s="298">
        <v>93</v>
      </c>
      <c r="R61" s="295">
        <v>93</v>
      </c>
      <c r="S61" s="1333" t="s">
        <v>223</v>
      </c>
      <c r="T61" s="1345">
        <v>1</v>
      </c>
      <c r="U61" s="1346">
        <v>1</v>
      </c>
      <c r="V61" s="1296"/>
      <c r="W61" s="255"/>
      <c r="X61" s="256"/>
    </row>
    <row r="62" spans="1:27" ht="15.75" hidden="1" customHeight="1" outlineLevel="1" x14ac:dyDescent="0.2">
      <c r="A62" s="1344"/>
      <c r="B62" s="1125"/>
      <c r="C62" s="1127"/>
      <c r="D62" s="1301"/>
      <c r="E62" s="1303"/>
      <c r="F62" s="290" t="s">
        <v>255</v>
      </c>
      <c r="G62" s="1303"/>
      <c r="H62" s="275" t="s">
        <v>224</v>
      </c>
      <c r="I62" s="257">
        <f>J62+L62</f>
        <v>92</v>
      </c>
      <c r="J62" s="291">
        <v>92</v>
      </c>
      <c r="K62" s="292">
        <v>42</v>
      </c>
      <c r="L62" s="291">
        <v>0</v>
      </c>
      <c r="M62" s="260">
        <f>N62+P62</f>
        <v>50.679000000000002</v>
      </c>
      <c r="N62" s="293">
        <v>50.679000000000002</v>
      </c>
      <c r="O62" s="293">
        <v>30.85</v>
      </c>
      <c r="P62" s="297">
        <v>0</v>
      </c>
      <c r="Q62" s="298">
        <v>100</v>
      </c>
      <c r="R62" s="295">
        <v>110</v>
      </c>
      <c r="S62" s="1333"/>
      <c r="T62" s="1336"/>
      <c r="U62" s="1339"/>
      <c r="V62" s="1342"/>
      <c r="W62" s="296"/>
      <c r="X62" s="264"/>
      <c r="Y62" s="264"/>
      <c r="Z62" s="264"/>
      <c r="AA62" s="264"/>
    </row>
    <row r="63" spans="1:27" ht="15.75" hidden="1" customHeight="1" outlineLevel="1" x14ac:dyDescent="0.2">
      <c r="A63" s="1344"/>
      <c r="B63" s="1125"/>
      <c r="C63" s="1127"/>
      <c r="D63" s="1301"/>
      <c r="E63" s="1303"/>
      <c r="F63" s="290" t="s">
        <v>241</v>
      </c>
      <c r="G63" s="1303"/>
      <c r="H63" s="275" t="s">
        <v>226</v>
      </c>
      <c r="I63" s="257">
        <f>J63+L63</f>
        <v>0.5</v>
      </c>
      <c r="J63" s="291">
        <v>0.5</v>
      </c>
      <c r="K63" s="292">
        <v>0</v>
      </c>
      <c r="L63" s="291">
        <v>0</v>
      </c>
      <c r="M63" s="260">
        <f>N63+P63</f>
        <v>0.12</v>
      </c>
      <c r="N63" s="293">
        <v>0.12</v>
      </c>
      <c r="O63" s="293">
        <v>0</v>
      </c>
      <c r="P63" s="297">
        <v>0</v>
      </c>
      <c r="Q63" s="298">
        <v>0.5</v>
      </c>
      <c r="R63" s="295">
        <v>0.5</v>
      </c>
      <c r="S63" s="1333"/>
      <c r="T63" s="1336"/>
      <c r="U63" s="1339"/>
      <c r="V63" s="1342"/>
      <c r="W63" s="296"/>
      <c r="X63" s="264"/>
      <c r="Y63" s="264"/>
      <c r="Z63" s="264"/>
      <c r="AA63" s="264"/>
    </row>
    <row r="64" spans="1:27" ht="15.75" hidden="1" customHeight="1" outlineLevel="1" x14ac:dyDescent="0.2">
      <c r="A64" s="1344"/>
      <c r="B64" s="1125"/>
      <c r="C64" s="1127"/>
      <c r="D64" s="1301"/>
      <c r="E64" s="1303"/>
      <c r="F64" s="246" t="s">
        <v>227</v>
      </c>
      <c r="G64" s="1303"/>
      <c r="H64" s="275" t="s">
        <v>73</v>
      </c>
      <c r="I64" s="257">
        <f>J64+L64</f>
        <v>0</v>
      </c>
      <c r="J64" s="291">
        <v>0</v>
      </c>
      <c r="K64" s="292">
        <v>0</v>
      </c>
      <c r="L64" s="291">
        <v>0</v>
      </c>
      <c r="M64" s="260">
        <f>N64+P64</f>
        <v>2.4</v>
      </c>
      <c r="N64" s="293">
        <v>2.4</v>
      </c>
      <c r="O64" s="293">
        <v>1.8</v>
      </c>
      <c r="P64" s="297">
        <v>0</v>
      </c>
      <c r="Q64" s="298">
        <v>0</v>
      </c>
      <c r="R64" s="295">
        <v>0</v>
      </c>
      <c r="S64" s="1333"/>
      <c r="T64" s="1336"/>
      <c r="U64" s="1339"/>
      <c r="V64" s="1342"/>
      <c r="W64" s="264"/>
      <c r="X64" s="264"/>
      <c r="Y64" s="264"/>
      <c r="Z64" s="264"/>
      <c r="AA64" s="264"/>
    </row>
    <row r="65" spans="1:27" ht="15.75" hidden="1" customHeight="1" outlineLevel="1" x14ac:dyDescent="0.2">
      <c r="A65" s="1344"/>
      <c r="B65" s="1125"/>
      <c r="C65" s="1127"/>
      <c r="D65" s="1301"/>
      <c r="E65" s="1303"/>
      <c r="F65" s="302"/>
      <c r="G65" s="1303"/>
      <c r="H65" s="275" t="s">
        <v>73</v>
      </c>
      <c r="I65" s="257">
        <f>J65+L65</f>
        <v>0</v>
      </c>
      <c r="J65" s="291">
        <v>0</v>
      </c>
      <c r="K65" s="292">
        <v>0</v>
      </c>
      <c r="L65" s="291">
        <v>0</v>
      </c>
      <c r="M65" s="260">
        <f>N65+P65</f>
        <v>0.6</v>
      </c>
      <c r="N65" s="293">
        <v>0.6</v>
      </c>
      <c r="O65" s="293">
        <v>0.5</v>
      </c>
      <c r="P65" s="297">
        <v>0</v>
      </c>
      <c r="Q65" s="298">
        <v>0</v>
      </c>
      <c r="R65" s="295">
        <v>0</v>
      </c>
      <c r="S65" s="1333"/>
      <c r="T65" s="1337"/>
      <c r="U65" s="1340"/>
      <c r="V65" s="1297"/>
      <c r="W65" s="264"/>
      <c r="X65" s="264"/>
      <c r="Y65" s="264"/>
      <c r="Z65" s="264"/>
      <c r="AA65" s="264"/>
    </row>
    <row r="66" spans="1:27" ht="15.75" hidden="1" customHeight="1" outlineLevel="1" x14ac:dyDescent="0.2">
      <c r="A66" s="1344"/>
      <c r="B66" s="1125"/>
      <c r="C66" s="1127"/>
      <c r="D66" s="1302"/>
      <c r="E66" s="1304"/>
      <c r="F66" s="304"/>
      <c r="G66" s="1332"/>
      <c r="H66" s="279" t="s">
        <v>13</v>
      </c>
      <c r="I66" s="280">
        <f t="shared" ref="I66:R66" si="13">SUM(I61:I65)</f>
        <v>188.3</v>
      </c>
      <c r="J66" s="281">
        <f t="shared" si="13"/>
        <v>188.3</v>
      </c>
      <c r="K66" s="282">
        <f t="shared" si="13"/>
        <v>113.6</v>
      </c>
      <c r="L66" s="281">
        <f t="shared" si="13"/>
        <v>0</v>
      </c>
      <c r="M66" s="283">
        <f t="shared" si="13"/>
        <v>153.024</v>
      </c>
      <c r="N66" s="284">
        <f t="shared" si="13"/>
        <v>153.024</v>
      </c>
      <c r="O66" s="284">
        <f t="shared" si="13"/>
        <v>108.05</v>
      </c>
      <c r="P66" s="300">
        <f t="shared" si="13"/>
        <v>0</v>
      </c>
      <c r="Q66" s="301">
        <f t="shared" si="13"/>
        <v>193.5</v>
      </c>
      <c r="R66" s="286">
        <f t="shared" si="13"/>
        <v>203.5</v>
      </c>
      <c r="S66" s="1334"/>
      <c r="T66" s="287">
        <f>SUM(T61:T61)</f>
        <v>1</v>
      </c>
      <c r="U66" s="288">
        <f>SUM(U61:U61)</f>
        <v>1</v>
      </c>
      <c r="V66" s="289"/>
      <c r="W66" s="255"/>
      <c r="X66" s="256"/>
    </row>
    <row r="67" spans="1:27" ht="15.75" hidden="1" customHeight="1" outlineLevel="1" x14ac:dyDescent="0.2">
      <c r="A67" s="1344" t="s">
        <v>17</v>
      </c>
      <c r="B67" s="1125" t="s">
        <v>17</v>
      </c>
      <c r="C67" s="1127" t="s">
        <v>256</v>
      </c>
      <c r="D67" s="1301" t="s">
        <v>219</v>
      </c>
      <c r="E67" s="1303" t="s">
        <v>238</v>
      </c>
      <c r="F67" s="302"/>
      <c r="G67" s="1303" t="s">
        <v>257</v>
      </c>
      <c r="H67" s="247" t="s">
        <v>222</v>
      </c>
      <c r="I67" s="257">
        <f t="shared" ref="I67:I72" si="14">J67+L67</f>
        <v>147</v>
      </c>
      <c r="J67" s="291">
        <v>147</v>
      </c>
      <c r="K67" s="292">
        <v>109.6</v>
      </c>
      <c r="L67" s="291">
        <v>0</v>
      </c>
      <c r="M67" s="260">
        <f t="shared" ref="M67:M72" si="15">N67+P67</f>
        <v>162.1</v>
      </c>
      <c r="N67" s="293">
        <v>162.1</v>
      </c>
      <c r="O67" s="293">
        <v>121.2</v>
      </c>
      <c r="P67" s="297">
        <v>0</v>
      </c>
      <c r="Q67" s="298">
        <v>130</v>
      </c>
      <c r="R67" s="295">
        <v>128</v>
      </c>
      <c r="S67" s="1333" t="s">
        <v>223</v>
      </c>
      <c r="T67" s="1345">
        <v>1</v>
      </c>
      <c r="U67" s="1346">
        <v>1</v>
      </c>
      <c r="V67" s="1296"/>
      <c r="W67" s="255"/>
      <c r="X67" s="256"/>
    </row>
    <row r="68" spans="1:27" ht="15.75" hidden="1" customHeight="1" outlineLevel="1" x14ac:dyDescent="0.2">
      <c r="A68" s="1344"/>
      <c r="B68" s="1125"/>
      <c r="C68" s="1127"/>
      <c r="D68" s="1301"/>
      <c r="E68" s="1303"/>
      <c r="F68" s="290" t="s">
        <v>258</v>
      </c>
      <c r="G68" s="1303"/>
      <c r="H68" s="275" t="s">
        <v>224</v>
      </c>
      <c r="I68" s="257">
        <f t="shared" si="14"/>
        <v>201.5</v>
      </c>
      <c r="J68" s="291">
        <v>199.5</v>
      </c>
      <c r="K68" s="292">
        <v>96</v>
      </c>
      <c r="L68" s="291">
        <v>2</v>
      </c>
      <c r="M68" s="260">
        <f t="shared" si="15"/>
        <v>175.3</v>
      </c>
      <c r="N68" s="293">
        <v>175.3</v>
      </c>
      <c r="O68" s="293">
        <v>94.5</v>
      </c>
      <c r="P68" s="297">
        <v>0</v>
      </c>
      <c r="Q68" s="298">
        <v>180</v>
      </c>
      <c r="R68" s="295">
        <v>190</v>
      </c>
      <c r="S68" s="1333"/>
      <c r="T68" s="1336"/>
      <c r="U68" s="1339"/>
      <c r="V68" s="1342"/>
      <c r="W68" s="296"/>
      <c r="X68" s="264"/>
      <c r="Y68" s="264"/>
      <c r="Z68" s="264"/>
      <c r="AA68" s="264"/>
    </row>
    <row r="69" spans="1:27" ht="15.75" hidden="1" customHeight="1" outlineLevel="1" x14ac:dyDescent="0.2">
      <c r="A69" s="1344"/>
      <c r="B69" s="1125"/>
      <c r="C69" s="1127"/>
      <c r="D69" s="1301"/>
      <c r="E69" s="1303"/>
      <c r="F69" s="290" t="s">
        <v>241</v>
      </c>
      <c r="G69" s="1303"/>
      <c r="H69" s="275" t="s">
        <v>225</v>
      </c>
      <c r="I69" s="257">
        <f t="shared" si="14"/>
        <v>3.5</v>
      </c>
      <c r="J69" s="291">
        <v>3.5</v>
      </c>
      <c r="K69" s="292">
        <v>0</v>
      </c>
      <c r="L69" s="291">
        <v>0</v>
      </c>
      <c r="M69" s="260">
        <f t="shared" si="15"/>
        <v>5</v>
      </c>
      <c r="N69" s="293">
        <v>5</v>
      </c>
      <c r="O69" s="293">
        <v>0</v>
      </c>
      <c r="P69" s="297">
        <v>0</v>
      </c>
      <c r="Q69" s="298">
        <v>3.5</v>
      </c>
      <c r="R69" s="295">
        <v>3.5</v>
      </c>
      <c r="S69" s="1333"/>
      <c r="T69" s="1336"/>
      <c r="U69" s="1339"/>
      <c r="V69" s="1342"/>
      <c r="W69" s="296"/>
      <c r="X69" s="264"/>
      <c r="Y69" s="264"/>
      <c r="Z69" s="264"/>
      <c r="AA69" s="264"/>
    </row>
    <row r="70" spans="1:27" ht="15.75" hidden="1" customHeight="1" outlineLevel="1" x14ac:dyDescent="0.2">
      <c r="A70" s="1344"/>
      <c r="B70" s="1125"/>
      <c r="C70" s="1127"/>
      <c r="D70" s="1301"/>
      <c r="E70" s="1303"/>
      <c r="F70" s="290"/>
      <c r="G70" s="1303"/>
      <c r="H70" s="275" t="s">
        <v>226</v>
      </c>
      <c r="I70" s="257">
        <f t="shared" si="14"/>
        <v>1</v>
      </c>
      <c r="J70" s="291">
        <v>1</v>
      </c>
      <c r="K70" s="292">
        <v>0</v>
      </c>
      <c r="L70" s="291">
        <v>0</v>
      </c>
      <c r="M70" s="260">
        <f t="shared" si="15"/>
        <v>1</v>
      </c>
      <c r="N70" s="293">
        <v>1</v>
      </c>
      <c r="O70" s="293">
        <v>0</v>
      </c>
      <c r="P70" s="297">
        <v>0</v>
      </c>
      <c r="Q70" s="298">
        <v>1</v>
      </c>
      <c r="R70" s="295">
        <v>1</v>
      </c>
      <c r="S70" s="1333"/>
      <c r="T70" s="1336"/>
      <c r="U70" s="1339"/>
      <c r="V70" s="1342"/>
      <c r="W70" s="296"/>
      <c r="X70" s="264"/>
      <c r="Y70" s="264"/>
      <c r="Z70" s="264"/>
      <c r="AA70" s="264"/>
    </row>
    <row r="71" spans="1:27" ht="15.75" hidden="1" customHeight="1" outlineLevel="1" x14ac:dyDescent="0.2">
      <c r="A71" s="1344"/>
      <c r="B71" s="1125"/>
      <c r="C71" s="1127"/>
      <c r="D71" s="1301"/>
      <c r="E71" s="1303"/>
      <c r="F71" s="302"/>
      <c r="G71" s="1303"/>
      <c r="H71" s="275" t="s">
        <v>73</v>
      </c>
      <c r="I71" s="257">
        <f t="shared" si="14"/>
        <v>0</v>
      </c>
      <c r="J71" s="291">
        <v>0</v>
      </c>
      <c r="K71" s="292">
        <v>0</v>
      </c>
      <c r="L71" s="291">
        <v>0</v>
      </c>
      <c r="M71" s="260">
        <f t="shared" si="15"/>
        <v>3.9</v>
      </c>
      <c r="N71" s="293">
        <v>3.9</v>
      </c>
      <c r="O71" s="293">
        <v>3</v>
      </c>
      <c r="P71" s="297">
        <v>0</v>
      </c>
      <c r="Q71" s="298">
        <v>0</v>
      </c>
      <c r="R71" s="295">
        <v>0</v>
      </c>
      <c r="S71" s="1333"/>
      <c r="T71" s="1336"/>
      <c r="U71" s="1339"/>
      <c r="V71" s="1342"/>
      <c r="W71" s="264"/>
      <c r="X71" s="264"/>
      <c r="Y71" s="264"/>
      <c r="Z71" s="264"/>
      <c r="AA71" s="264"/>
    </row>
    <row r="72" spans="1:27" ht="15.75" hidden="1" customHeight="1" outlineLevel="1" x14ac:dyDescent="0.2">
      <c r="A72" s="1344"/>
      <c r="B72" s="1125"/>
      <c r="C72" s="1127"/>
      <c r="D72" s="1301"/>
      <c r="E72" s="1303"/>
      <c r="F72" s="302"/>
      <c r="G72" s="1303"/>
      <c r="H72" s="275" t="s">
        <v>73</v>
      </c>
      <c r="I72" s="257">
        <f t="shared" si="14"/>
        <v>0</v>
      </c>
      <c r="J72" s="291">
        <v>0</v>
      </c>
      <c r="K72" s="292">
        <v>0</v>
      </c>
      <c r="L72" s="291">
        <v>0</v>
      </c>
      <c r="M72" s="260">
        <f t="shared" si="15"/>
        <v>1.4</v>
      </c>
      <c r="N72" s="293">
        <v>1.4</v>
      </c>
      <c r="O72" s="293">
        <v>1.1000000000000001</v>
      </c>
      <c r="P72" s="297">
        <v>0</v>
      </c>
      <c r="Q72" s="298">
        <v>0</v>
      </c>
      <c r="R72" s="295">
        <v>0</v>
      </c>
      <c r="S72" s="1333"/>
      <c r="T72" s="1337"/>
      <c r="U72" s="1340"/>
      <c r="V72" s="1297"/>
      <c r="W72" s="264"/>
      <c r="X72" s="264"/>
      <c r="Y72" s="264"/>
      <c r="Z72" s="264"/>
      <c r="AA72" s="264"/>
    </row>
    <row r="73" spans="1:27" ht="15.75" hidden="1" customHeight="1" outlineLevel="1" x14ac:dyDescent="0.2">
      <c r="A73" s="1344"/>
      <c r="B73" s="1125"/>
      <c r="C73" s="1127"/>
      <c r="D73" s="1302"/>
      <c r="E73" s="1304"/>
      <c r="F73" s="304"/>
      <c r="G73" s="1332"/>
      <c r="H73" s="279" t="s">
        <v>13</v>
      </c>
      <c r="I73" s="280">
        <f>SUM(I67:I71)</f>
        <v>353</v>
      </c>
      <c r="J73" s="281">
        <f t="shared" ref="J73:R73" si="16">SUM(J67:J72)</f>
        <v>351</v>
      </c>
      <c r="K73" s="282">
        <f t="shared" si="16"/>
        <v>205.6</v>
      </c>
      <c r="L73" s="281">
        <f t="shared" si="16"/>
        <v>2</v>
      </c>
      <c r="M73" s="283">
        <f t="shared" si="16"/>
        <v>348.69999999999993</v>
      </c>
      <c r="N73" s="284">
        <f t="shared" si="16"/>
        <v>348.69999999999993</v>
      </c>
      <c r="O73" s="284">
        <f>SUM(O67:O72)</f>
        <v>219.79999999999998</v>
      </c>
      <c r="P73" s="300">
        <f t="shared" si="16"/>
        <v>0</v>
      </c>
      <c r="Q73" s="301">
        <f t="shared" si="16"/>
        <v>314.5</v>
      </c>
      <c r="R73" s="286">
        <f t="shared" si="16"/>
        <v>322.5</v>
      </c>
      <c r="S73" s="1334"/>
      <c r="T73" s="287">
        <f>SUM(T67:T67)</f>
        <v>1</v>
      </c>
      <c r="U73" s="288">
        <f>SUM(U67:U67)</f>
        <v>1</v>
      </c>
      <c r="V73" s="289"/>
      <c r="W73" s="255"/>
      <c r="X73" s="256"/>
    </row>
    <row r="74" spans="1:27" ht="15.75" hidden="1" customHeight="1" outlineLevel="1" x14ac:dyDescent="0.2">
      <c r="A74" s="1344" t="s">
        <v>17</v>
      </c>
      <c r="B74" s="1125" t="s">
        <v>17</v>
      </c>
      <c r="C74" s="1127" t="s">
        <v>259</v>
      </c>
      <c r="D74" s="1301" t="s">
        <v>219</v>
      </c>
      <c r="E74" s="1303" t="s">
        <v>238</v>
      </c>
      <c r="F74" s="290"/>
      <c r="G74" s="1303" t="s">
        <v>260</v>
      </c>
      <c r="H74" s="247" t="s">
        <v>222</v>
      </c>
      <c r="I74" s="257">
        <f>J74+L74</f>
        <v>587.70000000000005</v>
      </c>
      <c r="J74" s="291">
        <v>585.70000000000005</v>
      </c>
      <c r="K74" s="292">
        <v>434.3</v>
      </c>
      <c r="L74" s="291">
        <v>2</v>
      </c>
      <c r="M74" s="260">
        <f>N74+P74</f>
        <v>619.80000000000007</v>
      </c>
      <c r="N74" s="293">
        <v>619.1</v>
      </c>
      <c r="O74" s="293">
        <v>459.8</v>
      </c>
      <c r="P74" s="297">
        <v>0.7</v>
      </c>
      <c r="Q74" s="298">
        <v>575</v>
      </c>
      <c r="R74" s="295">
        <v>570</v>
      </c>
      <c r="S74" s="1333" t="s">
        <v>223</v>
      </c>
      <c r="T74" s="1345">
        <v>1</v>
      </c>
      <c r="U74" s="1346">
        <v>1</v>
      </c>
      <c r="V74" s="1296"/>
      <c r="W74" s="255"/>
      <c r="X74" s="256"/>
    </row>
    <row r="75" spans="1:27" ht="15.75" hidden="1" customHeight="1" outlineLevel="1" x14ac:dyDescent="0.2">
      <c r="A75" s="1344"/>
      <c r="B75" s="1125"/>
      <c r="C75" s="1127"/>
      <c r="D75" s="1301"/>
      <c r="E75" s="1303"/>
      <c r="F75" s="290" t="s">
        <v>261</v>
      </c>
      <c r="G75" s="1303"/>
      <c r="H75" s="275" t="s">
        <v>224</v>
      </c>
      <c r="I75" s="257">
        <f>J75+L75</f>
        <v>270.5</v>
      </c>
      <c r="J75" s="291">
        <v>270.5</v>
      </c>
      <c r="K75" s="292">
        <v>161.1</v>
      </c>
      <c r="L75" s="291">
        <v>0</v>
      </c>
      <c r="M75" s="260">
        <f>N75+P75</f>
        <v>253.5</v>
      </c>
      <c r="N75" s="293">
        <v>251.7</v>
      </c>
      <c r="O75" s="293">
        <v>158.19999999999999</v>
      </c>
      <c r="P75" s="297">
        <v>1.8</v>
      </c>
      <c r="Q75" s="298">
        <v>275</v>
      </c>
      <c r="R75" s="295">
        <v>280</v>
      </c>
      <c r="S75" s="1333"/>
      <c r="T75" s="1336"/>
      <c r="U75" s="1339"/>
      <c r="V75" s="1342"/>
      <c r="W75" s="296"/>
      <c r="X75" s="264"/>
      <c r="Y75" s="264"/>
      <c r="Z75" s="264"/>
      <c r="AA75" s="264"/>
    </row>
    <row r="76" spans="1:27" ht="15.75" hidden="1" customHeight="1" outlineLevel="1" x14ac:dyDescent="0.2">
      <c r="A76" s="1344"/>
      <c r="B76" s="1125"/>
      <c r="C76" s="1127"/>
      <c r="D76" s="1301"/>
      <c r="E76" s="1303"/>
      <c r="F76" s="290" t="s">
        <v>241</v>
      </c>
      <c r="G76" s="1303"/>
      <c r="H76" s="275" t="s">
        <v>226</v>
      </c>
      <c r="I76" s="257">
        <f>J76+L76</f>
        <v>7.2</v>
      </c>
      <c r="J76" s="291">
        <v>7.2</v>
      </c>
      <c r="K76" s="292">
        <v>0</v>
      </c>
      <c r="L76" s="291">
        <v>0</v>
      </c>
      <c r="M76" s="260">
        <f>N76+P76</f>
        <v>8.6999999999999993</v>
      </c>
      <c r="N76" s="293">
        <v>8.6999999999999993</v>
      </c>
      <c r="O76" s="293">
        <v>0</v>
      </c>
      <c r="P76" s="297">
        <v>0</v>
      </c>
      <c r="Q76" s="298">
        <v>7.2</v>
      </c>
      <c r="R76" s="295">
        <v>7.5</v>
      </c>
      <c r="S76" s="1333"/>
      <c r="T76" s="1336"/>
      <c r="U76" s="1339"/>
      <c r="V76" s="1342"/>
      <c r="W76" s="296"/>
      <c r="X76" s="264"/>
      <c r="Y76" s="264"/>
      <c r="Z76" s="264"/>
      <c r="AA76" s="264"/>
    </row>
    <row r="77" spans="1:27" ht="15.75" hidden="1" customHeight="1" outlineLevel="1" x14ac:dyDescent="0.2">
      <c r="A77" s="1344"/>
      <c r="B77" s="1125"/>
      <c r="C77" s="1127"/>
      <c r="D77" s="1301"/>
      <c r="E77" s="1303"/>
      <c r="F77" s="246" t="s">
        <v>227</v>
      </c>
      <c r="G77" s="1303"/>
      <c r="H77" s="275" t="s">
        <v>73</v>
      </c>
      <c r="I77" s="257">
        <f>J77+L77</f>
        <v>0</v>
      </c>
      <c r="J77" s="291">
        <v>0</v>
      </c>
      <c r="K77" s="292">
        <v>0</v>
      </c>
      <c r="L77" s="291">
        <v>0</v>
      </c>
      <c r="M77" s="260">
        <f>N77+P77</f>
        <v>14.6</v>
      </c>
      <c r="N77" s="293">
        <v>14.6</v>
      </c>
      <c r="O77" s="293">
        <v>11.1</v>
      </c>
      <c r="P77" s="297">
        <v>0</v>
      </c>
      <c r="Q77" s="298">
        <v>0</v>
      </c>
      <c r="R77" s="295">
        <v>0</v>
      </c>
      <c r="S77" s="1333"/>
      <c r="T77" s="1336"/>
      <c r="U77" s="1339"/>
      <c r="V77" s="1342"/>
      <c r="W77" s="264"/>
      <c r="X77" s="264"/>
      <c r="Y77" s="264"/>
      <c r="Z77" s="264"/>
      <c r="AA77" s="264"/>
    </row>
    <row r="78" spans="1:27" ht="15.75" hidden="1" customHeight="1" outlineLevel="1" x14ac:dyDescent="0.2">
      <c r="A78" s="1344"/>
      <c r="B78" s="1125"/>
      <c r="C78" s="1127"/>
      <c r="D78" s="1301"/>
      <c r="E78" s="1303"/>
      <c r="F78" s="290"/>
      <c r="G78" s="1303"/>
      <c r="H78" s="275" t="s">
        <v>73</v>
      </c>
      <c r="I78" s="257">
        <f>J78+L78</f>
        <v>0</v>
      </c>
      <c r="J78" s="291">
        <v>0</v>
      </c>
      <c r="K78" s="292">
        <v>0</v>
      </c>
      <c r="L78" s="291">
        <v>0</v>
      </c>
      <c r="M78" s="260">
        <f>N78+P78</f>
        <v>1.6</v>
      </c>
      <c r="N78" s="293">
        <v>1.6</v>
      </c>
      <c r="O78" s="293">
        <v>1.2</v>
      </c>
      <c r="P78" s="297">
        <v>0</v>
      </c>
      <c r="Q78" s="298">
        <v>0</v>
      </c>
      <c r="R78" s="295">
        <v>0</v>
      </c>
      <c r="S78" s="1333"/>
      <c r="T78" s="1337"/>
      <c r="U78" s="1340"/>
      <c r="V78" s="1297"/>
      <c r="W78" s="264"/>
      <c r="X78" s="264"/>
      <c r="Y78" s="264"/>
      <c r="Z78" s="264"/>
      <c r="AA78" s="264"/>
    </row>
    <row r="79" spans="1:27" ht="15.75" hidden="1" customHeight="1" outlineLevel="1" x14ac:dyDescent="0.2">
      <c r="A79" s="1344"/>
      <c r="B79" s="1125"/>
      <c r="C79" s="1127"/>
      <c r="D79" s="1302"/>
      <c r="E79" s="1304"/>
      <c r="F79" s="299"/>
      <c r="G79" s="1332"/>
      <c r="H79" s="279" t="s">
        <v>13</v>
      </c>
      <c r="I79" s="280">
        <f t="shared" ref="I79:R79" si="17">SUM(I74:I78)</f>
        <v>865.40000000000009</v>
      </c>
      <c r="J79" s="281">
        <f t="shared" si="17"/>
        <v>863.40000000000009</v>
      </c>
      <c r="K79" s="282">
        <f t="shared" si="17"/>
        <v>595.4</v>
      </c>
      <c r="L79" s="281">
        <f t="shared" si="17"/>
        <v>2</v>
      </c>
      <c r="M79" s="283">
        <f t="shared" si="17"/>
        <v>898.20000000000016</v>
      </c>
      <c r="N79" s="284">
        <f t="shared" si="17"/>
        <v>895.7</v>
      </c>
      <c r="O79" s="284">
        <f t="shared" si="17"/>
        <v>630.30000000000007</v>
      </c>
      <c r="P79" s="300">
        <f t="shared" si="17"/>
        <v>2.5</v>
      </c>
      <c r="Q79" s="301">
        <f t="shared" si="17"/>
        <v>857.2</v>
      </c>
      <c r="R79" s="286">
        <f t="shared" si="17"/>
        <v>857.5</v>
      </c>
      <c r="S79" s="1334"/>
      <c r="T79" s="287">
        <f>SUM(T74:T74)</f>
        <v>1</v>
      </c>
      <c r="U79" s="288">
        <f>SUM(U74:U74)</f>
        <v>1</v>
      </c>
      <c r="V79" s="289"/>
      <c r="W79" s="255"/>
      <c r="X79" s="256"/>
    </row>
    <row r="80" spans="1:27" ht="15.75" hidden="1" customHeight="1" outlineLevel="1" x14ac:dyDescent="0.2">
      <c r="A80" s="1344" t="s">
        <v>17</v>
      </c>
      <c r="B80" s="1125" t="s">
        <v>17</v>
      </c>
      <c r="C80" s="1127" t="s">
        <v>262</v>
      </c>
      <c r="D80" s="1301" t="s">
        <v>219</v>
      </c>
      <c r="E80" s="1303" t="s">
        <v>250</v>
      </c>
      <c r="F80" s="290"/>
      <c r="G80" s="1303" t="s">
        <v>263</v>
      </c>
      <c r="H80" s="247" t="s">
        <v>222</v>
      </c>
      <c r="I80" s="257">
        <f t="shared" ref="I80:I85" si="18">J80+L80</f>
        <v>167.5</v>
      </c>
      <c r="J80" s="291">
        <v>167.5</v>
      </c>
      <c r="K80" s="292">
        <v>124.9</v>
      </c>
      <c r="L80" s="291">
        <v>0</v>
      </c>
      <c r="M80" s="260">
        <f t="shared" ref="M80:M85" si="19">N80+P80</f>
        <v>204.1</v>
      </c>
      <c r="N80" s="293">
        <v>204.1</v>
      </c>
      <c r="O80" s="293">
        <v>153</v>
      </c>
      <c r="P80" s="297">
        <v>0</v>
      </c>
      <c r="Q80" s="298">
        <v>184</v>
      </c>
      <c r="R80" s="295">
        <v>202</v>
      </c>
      <c r="S80" s="1333" t="s">
        <v>223</v>
      </c>
      <c r="T80" s="1345">
        <v>1</v>
      </c>
      <c r="U80" s="1346">
        <v>1</v>
      </c>
      <c r="V80" s="1296"/>
      <c r="W80" s="255"/>
      <c r="X80" s="256"/>
    </row>
    <row r="81" spans="1:27" ht="15.75" hidden="1" customHeight="1" outlineLevel="1" x14ac:dyDescent="0.2">
      <c r="A81" s="1344"/>
      <c r="B81" s="1125"/>
      <c r="C81" s="1127"/>
      <c r="D81" s="1301"/>
      <c r="E81" s="1303"/>
      <c r="F81" s="290" t="s">
        <v>264</v>
      </c>
      <c r="G81" s="1303"/>
      <c r="H81" s="275" t="s">
        <v>224</v>
      </c>
      <c r="I81" s="257">
        <f t="shared" si="18"/>
        <v>172.70000000000002</v>
      </c>
      <c r="J81" s="291">
        <v>169.3</v>
      </c>
      <c r="K81" s="292">
        <v>95.7</v>
      </c>
      <c r="L81" s="291">
        <v>3.4</v>
      </c>
      <c r="M81" s="260">
        <f t="shared" si="19"/>
        <v>159.69999999999999</v>
      </c>
      <c r="N81" s="293">
        <v>159.19999999999999</v>
      </c>
      <c r="O81" s="293">
        <v>94.5</v>
      </c>
      <c r="P81" s="297">
        <v>0.5</v>
      </c>
      <c r="Q81" s="298">
        <v>189.9</v>
      </c>
      <c r="R81" s="295">
        <v>209</v>
      </c>
      <c r="S81" s="1333"/>
      <c r="T81" s="1336"/>
      <c r="U81" s="1339"/>
      <c r="V81" s="1342"/>
      <c r="W81" s="296"/>
      <c r="X81" s="264"/>
      <c r="Y81" s="264"/>
      <c r="Z81" s="264"/>
      <c r="AA81" s="264"/>
    </row>
    <row r="82" spans="1:27" ht="15.75" hidden="1" customHeight="1" outlineLevel="1" x14ac:dyDescent="0.2">
      <c r="A82" s="1344"/>
      <c r="B82" s="1125"/>
      <c r="C82" s="1127"/>
      <c r="D82" s="1301"/>
      <c r="E82" s="1303"/>
      <c r="F82" s="290" t="s">
        <v>241</v>
      </c>
      <c r="G82" s="1303"/>
      <c r="H82" s="275" t="s">
        <v>225</v>
      </c>
      <c r="I82" s="257">
        <f t="shared" si="18"/>
        <v>0</v>
      </c>
      <c r="J82" s="291">
        <v>0</v>
      </c>
      <c r="K82" s="292">
        <v>0</v>
      </c>
      <c r="L82" s="291">
        <v>0</v>
      </c>
      <c r="M82" s="260">
        <f t="shared" si="19"/>
        <v>1</v>
      </c>
      <c r="N82" s="293">
        <v>1</v>
      </c>
      <c r="O82" s="293">
        <v>0</v>
      </c>
      <c r="P82" s="297">
        <v>0</v>
      </c>
      <c r="Q82" s="298">
        <v>0</v>
      </c>
      <c r="R82" s="295">
        <v>0</v>
      </c>
      <c r="S82" s="1333"/>
      <c r="T82" s="1336"/>
      <c r="U82" s="1339"/>
      <c r="V82" s="1342"/>
      <c r="W82" s="296"/>
      <c r="X82" s="264"/>
      <c r="Y82" s="264"/>
      <c r="Z82" s="264"/>
      <c r="AA82" s="264"/>
    </row>
    <row r="83" spans="1:27" ht="15.75" hidden="1" customHeight="1" outlineLevel="1" x14ac:dyDescent="0.2">
      <c r="A83" s="1344"/>
      <c r="B83" s="1125"/>
      <c r="C83" s="1127"/>
      <c r="D83" s="1301"/>
      <c r="E83" s="1303"/>
      <c r="F83" s="290"/>
      <c r="G83" s="1303"/>
      <c r="H83" s="275" t="s">
        <v>226</v>
      </c>
      <c r="I83" s="257">
        <f t="shared" si="18"/>
        <v>0.8</v>
      </c>
      <c r="J83" s="291">
        <v>0.8</v>
      </c>
      <c r="K83" s="292">
        <v>0</v>
      </c>
      <c r="L83" s="291">
        <v>0</v>
      </c>
      <c r="M83" s="260">
        <f t="shared" si="19"/>
        <v>0.8</v>
      </c>
      <c r="N83" s="293">
        <v>0.8</v>
      </c>
      <c r="O83" s="293">
        <v>0</v>
      </c>
      <c r="P83" s="297">
        <v>0</v>
      </c>
      <c r="Q83" s="298">
        <v>0.8</v>
      </c>
      <c r="R83" s="295">
        <v>0.9</v>
      </c>
      <c r="S83" s="1333"/>
      <c r="T83" s="1336"/>
      <c r="U83" s="1339"/>
      <c r="V83" s="1342"/>
      <c r="W83" s="296"/>
      <c r="X83" s="264"/>
      <c r="Y83" s="264"/>
      <c r="Z83" s="264"/>
      <c r="AA83" s="264"/>
    </row>
    <row r="84" spans="1:27" ht="15.75" hidden="1" customHeight="1" outlineLevel="1" x14ac:dyDescent="0.2">
      <c r="A84" s="1344"/>
      <c r="B84" s="1125"/>
      <c r="C84" s="1127"/>
      <c r="D84" s="1301"/>
      <c r="E84" s="1303"/>
      <c r="F84" s="246" t="s">
        <v>227</v>
      </c>
      <c r="G84" s="1303"/>
      <c r="H84" s="275" t="s">
        <v>73</v>
      </c>
      <c r="I84" s="257">
        <f t="shared" si="18"/>
        <v>0</v>
      </c>
      <c r="J84" s="291">
        <v>0</v>
      </c>
      <c r="K84" s="292">
        <v>0</v>
      </c>
      <c r="L84" s="291">
        <v>0</v>
      </c>
      <c r="M84" s="260">
        <f t="shared" si="19"/>
        <v>4.5999999999999996</v>
      </c>
      <c r="N84" s="293">
        <v>4.5999999999999996</v>
      </c>
      <c r="O84" s="293">
        <v>3.5</v>
      </c>
      <c r="P84" s="297">
        <v>0</v>
      </c>
      <c r="Q84" s="298">
        <v>0</v>
      </c>
      <c r="R84" s="295">
        <v>0</v>
      </c>
      <c r="S84" s="1333"/>
      <c r="T84" s="1336"/>
      <c r="U84" s="1339"/>
      <c r="V84" s="1342"/>
      <c r="W84" s="264"/>
      <c r="X84" s="264"/>
      <c r="Y84" s="264"/>
      <c r="Z84" s="264"/>
      <c r="AA84" s="264"/>
    </row>
    <row r="85" spans="1:27" ht="15.75" hidden="1" customHeight="1" outlineLevel="1" x14ac:dyDescent="0.2">
      <c r="A85" s="1344"/>
      <c r="B85" s="1125"/>
      <c r="C85" s="1127"/>
      <c r="D85" s="1301"/>
      <c r="E85" s="1303"/>
      <c r="F85" s="290"/>
      <c r="G85" s="1303"/>
      <c r="H85" s="275" t="s">
        <v>73</v>
      </c>
      <c r="I85" s="257">
        <f t="shared" si="18"/>
        <v>0</v>
      </c>
      <c r="J85" s="291">
        <v>0</v>
      </c>
      <c r="K85" s="292">
        <v>0</v>
      </c>
      <c r="L85" s="291">
        <v>0</v>
      </c>
      <c r="M85" s="260">
        <f t="shared" si="19"/>
        <v>1.7</v>
      </c>
      <c r="N85" s="293">
        <v>1.7</v>
      </c>
      <c r="O85" s="293">
        <v>1.3</v>
      </c>
      <c r="P85" s="297">
        <v>0</v>
      </c>
      <c r="Q85" s="298">
        <v>0</v>
      </c>
      <c r="R85" s="295">
        <v>0</v>
      </c>
      <c r="S85" s="1333"/>
      <c r="T85" s="1337"/>
      <c r="U85" s="1340"/>
      <c r="V85" s="1297"/>
      <c r="W85" s="264"/>
      <c r="X85" s="264"/>
      <c r="Y85" s="264"/>
      <c r="Z85" s="264"/>
      <c r="AA85" s="264"/>
    </row>
    <row r="86" spans="1:27" ht="15.75" hidden="1" customHeight="1" outlineLevel="1" x14ac:dyDescent="0.2">
      <c r="A86" s="1344"/>
      <c r="B86" s="1125"/>
      <c r="C86" s="1127"/>
      <c r="D86" s="1302"/>
      <c r="E86" s="1304"/>
      <c r="F86" s="299"/>
      <c r="G86" s="1332"/>
      <c r="H86" s="279" t="s">
        <v>13</v>
      </c>
      <c r="I86" s="280">
        <f t="shared" ref="I86:R86" si="20">SUM(I80:I85)</f>
        <v>341.00000000000006</v>
      </c>
      <c r="J86" s="281">
        <f t="shared" si="20"/>
        <v>337.6</v>
      </c>
      <c r="K86" s="282">
        <f t="shared" si="20"/>
        <v>220.60000000000002</v>
      </c>
      <c r="L86" s="281">
        <f t="shared" si="20"/>
        <v>3.4</v>
      </c>
      <c r="M86" s="283">
        <f t="shared" si="20"/>
        <v>371.9</v>
      </c>
      <c r="N86" s="284">
        <f t="shared" si="20"/>
        <v>371.4</v>
      </c>
      <c r="O86" s="284">
        <f t="shared" si="20"/>
        <v>252.3</v>
      </c>
      <c r="P86" s="300">
        <f t="shared" si="20"/>
        <v>0.5</v>
      </c>
      <c r="Q86" s="301">
        <f t="shared" si="20"/>
        <v>374.7</v>
      </c>
      <c r="R86" s="286">
        <f t="shared" si="20"/>
        <v>411.9</v>
      </c>
      <c r="S86" s="1334"/>
      <c r="T86" s="287">
        <f>SUM(T80:T80)</f>
        <v>1</v>
      </c>
      <c r="U86" s="288">
        <f>SUM(U80:U80)</f>
        <v>1</v>
      </c>
      <c r="V86" s="289"/>
      <c r="W86" s="255"/>
      <c r="X86" s="256"/>
    </row>
    <row r="87" spans="1:27" ht="15.75" hidden="1" customHeight="1" outlineLevel="1" x14ac:dyDescent="0.2">
      <c r="A87" s="1344" t="s">
        <v>17</v>
      </c>
      <c r="B87" s="1125" t="s">
        <v>17</v>
      </c>
      <c r="C87" s="1127" t="s">
        <v>265</v>
      </c>
      <c r="D87" s="1301" t="s">
        <v>219</v>
      </c>
      <c r="E87" s="1303" t="s">
        <v>250</v>
      </c>
      <c r="F87" s="290"/>
      <c r="G87" s="1303" t="s">
        <v>266</v>
      </c>
      <c r="H87" s="247" t="s">
        <v>222</v>
      </c>
      <c r="I87" s="257">
        <f>J87+L87</f>
        <v>99.7</v>
      </c>
      <c r="J87" s="291">
        <v>99.7</v>
      </c>
      <c r="K87" s="292">
        <v>74.400000000000006</v>
      </c>
      <c r="L87" s="291">
        <v>0</v>
      </c>
      <c r="M87" s="260">
        <f>N87+P87</f>
        <v>79.349999999999994</v>
      </c>
      <c r="N87" s="293">
        <v>79.349999999999994</v>
      </c>
      <c r="O87" s="293">
        <v>59.713999999999999</v>
      </c>
      <c r="P87" s="297">
        <v>0</v>
      </c>
      <c r="Q87" s="298">
        <v>89.7</v>
      </c>
      <c r="R87" s="295">
        <v>80.8</v>
      </c>
      <c r="S87" s="1333" t="s">
        <v>223</v>
      </c>
      <c r="T87" s="1345">
        <v>1</v>
      </c>
      <c r="U87" s="1346">
        <v>1</v>
      </c>
      <c r="V87" s="1296"/>
      <c r="W87" s="255"/>
      <c r="X87" s="256"/>
    </row>
    <row r="88" spans="1:27" ht="15.75" hidden="1" customHeight="1" outlineLevel="1" x14ac:dyDescent="0.2">
      <c r="A88" s="1344"/>
      <c r="B88" s="1125"/>
      <c r="C88" s="1127"/>
      <c r="D88" s="1301"/>
      <c r="E88" s="1303"/>
      <c r="F88" s="290" t="s">
        <v>267</v>
      </c>
      <c r="G88" s="1303"/>
      <c r="H88" s="275" t="s">
        <v>224</v>
      </c>
      <c r="I88" s="257">
        <f>J88+L88</f>
        <v>101.7</v>
      </c>
      <c r="J88" s="291">
        <v>101.7</v>
      </c>
      <c r="K88" s="292">
        <v>51.3</v>
      </c>
      <c r="L88" s="291">
        <v>0</v>
      </c>
      <c r="M88" s="260">
        <f>N88+P88</f>
        <v>49.42</v>
      </c>
      <c r="N88" s="293">
        <v>49.42</v>
      </c>
      <c r="O88" s="293">
        <v>28.855</v>
      </c>
      <c r="P88" s="297">
        <v>0</v>
      </c>
      <c r="Q88" s="298">
        <v>111.9</v>
      </c>
      <c r="R88" s="295">
        <v>123.1</v>
      </c>
      <c r="S88" s="1333"/>
      <c r="T88" s="1336"/>
      <c r="U88" s="1339"/>
      <c r="V88" s="1342"/>
      <c r="W88" s="296"/>
      <c r="X88" s="264"/>
      <c r="Y88" s="264"/>
      <c r="Z88" s="264"/>
      <c r="AA88" s="264"/>
    </row>
    <row r="89" spans="1:27" ht="15.75" hidden="1" customHeight="1" outlineLevel="1" x14ac:dyDescent="0.2">
      <c r="A89" s="1344"/>
      <c r="B89" s="1125"/>
      <c r="C89" s="1127"/>
      <c r="D89" s="1301"/>
      <c r="E89" s="1303"/>
      <c r="F89" s="290" t="s">
        <v>241</v>
      </c>
      <c r="G89" s="1303"/>
      <c r="H89" s="275" t="s">
        <v>226</v>
      </c>
      <c r="I89" s="257">
        <f>J89+L89</f>
        <v>0.5</v>
      </c>
      <c r="J89" s="291">
        <v>0.5</v>
      </c>
      <c r="K89" s="292">
        <v>0</v>
      </c>
      <c r="L89" s="291">
        <v>0</v>
      </c>
      <c r="M89" s="260">
        <f>N89+P89</f>
        <v>0.25900000000000001</v>
      </c>
      <c r="N89" s="293">
        <v>0.25900000000000001</v>
      </c>
      <c r="O89" s="293">
        <v>0</v>
      </c>
      <c r="P89" s="297">
        <v>0</v>
      </c>
      <c r="Q89" s="298">
        <v>0.5</v>
      </c>
      <c r="R89" s="295">
        <v>0.5</v>
      </c>
      <c r="S89" s="1333"/>
      <c r="T89" s="1336"/>
      <c r="U89" s="1339"/>
      <c r="V89" s="1342"/>
      <c r="W89" s="296"/>
      <c r="X89" s="264"/>
      <c r="Y89" s="264"/>
      <c r="Z89" s="264"/>
      <c r="AA89" s="264"/>
    </row>
    <row r="90" spans="1:27" ht="15.75" hidden="1" customHeight="1" outlineLevel="1" x14ac:dyDescent="0.2">
      <c r="A90" s="1344"/>
      <c r="B90" s="1125"/>
      <c r="C90" s="1127"/>
      <c r="D90" s="1301"/>
      <c r="E90" s="1303"/>
      <c r="F90" s="246" t="s">
        <v>227</v>
      </c>
      <c r="G90" s="1303"/>
      <c r="H90" s="275" t="s">
        <v>73</v>
      </c>
      <c r="I90" s="257">
        <f>J90+L90</f>
        <v>0</v>
      </c>
      <c r="J90" s="291">
        <v>0</v>
      </c>
      <c r="K90" s="292">
        <v>0</v>
      </c>
      <c r="L90" s="291">
        <v>0</v>
      </c>
      <c r="M90" s="260">
        <f>N90+P90</f>
        <v>2</v>
      </c>
      <c r="N90" s="293">
        <v>2</v>
      </c>
      <c r="O90" s="293">
        <v>1.5</v>
      </c>
      <c r="P90" s="297">
        <v>0</v>
      </c>
      <c r="Q90" s="298">
        <v>0</v>
      </c>
      <c r="R90" s="295">
        <v>0</v>
      </c>
      <c r="S90" s="1333"/>
      <c r="T90" s="1336"/>
      <c r="U90" s="1339"/>
      <c r="V90" s="1342"/>
      <c r="W90" s="264"/>
      <c r="X90" s="264"/>
      <c r="Y90" s="264"/>
      <c r="Z90" s="264"/>
      <c r="AA90" s="264"/>
    </row>
    <row r="91" spans="1:27" ht="15.75" hidden="1" customHeight="1" outlineLevel="1" x14ac:dyDescent="0.2">
      <c r="A91" s="1344"/>
      <c r="B91" s="1125"/>
      <c r="C91" s="1127"/>
      <c r="D91" s="1301"/>
      <c r="E91" s="1303"/>
      <c r="F91" s="290"/>
      <c r="G91" s="1303"/>
      <c r="H91" s="275" t="s">
        <v>73</v>
      </c>
      <c r="I91" s="257">
        <f>J91+L91</f>
        <v>0</v>
      </c>
      <c r="J91" s="291">
        <v>0</v>
      </c>
      <c r="K91" s="292">
        <v>0</v>
      </c>
      <c r="L91" s="291">
        <v>0</v>
      </c>
      <c r="M91" s="260">
        <f>N91+P91</f>
        <v>1</v>
      </c>
      <c r="N91" s="293">
        <v>1</v>
      </c>
      <c r="O91" s="293">
        <v>0.7</v>
      </c>
      <c r="P91" s="297">
        <v>0</v>
      </c>
      <c r="Q91" s="298">
        <v>0</v>
      </c>
      <c r="R91" s="295">
        <v>0</v>
      </c>
      <c r="S91" s="1333"/>
      <c r="T91" s="1337"/>
      <c r="U91" s="1340"/>
      <c r="V91" s="1297"/>
      <c r="W91" s="264"/>
      <c r="X91" s="264"/>
      <c r="Y91" s="264"/>
      <c r="Z91" s="264"/>
      <c r="AA91" s="264"/>
    </row>
    <row r="92" spans="1:27" ht="15.75" hidden="1" customHeight="1" outlineLevel="1" x14ac:dyDescent="0.2">
      <c r="A92" s="1344"/>
      <c r="B92" s="1125"/>
      <c r="C92" s="1127"/>
      <c r="D92" s="1302"/>
      <c r="E92" s="1304"/>
      <c r="F92" s="299"/>
      <c r="G92" s="1332"/>
      <c r="H92" s="279" t="s">
        <v>13</v>
      </c>
      <c r="I92" s="280">
        <f t="shared" ref="I92:R92" si="21">SUM(I87:I91)</f>
        <v>201.9</v>
      </c>
      <c r="J92" s="281">
        <f t="shared" si="21"/>
        <v>201.9</v>
      </c>
      <c r="K92" s="282">
        <f t="shared" si="21"/>
        <v>125.7</v>
      </c>
      <c r="L92" s="281">
        <f t="shared" si="21"/>
        <v>0</v>
      </c>
      <c r="M92" s="283">
        <f t="shared" si="21"/>
        <v>132.02899999999997</v>
      </c>
      <c r="N92" s="284">
        <f t="shared" si="21"/>
        <v>132.02899999999997</v>
      </c>
      <c r="O92" s="284">
        <f t="shared" si="21"/>
        <v>90.769000000000005</v>
      </c>
      <c r="P92" s="300">
        <f t="shared" si="21"/>
        <v>0</v>
      </c>
      <c r="Q92" s="301">
        <f t="shared" si="21"/>
        <v>202.10000000000002</v>
      </c>
      <c r="R92" s="286">
        <f t="shared" si="21"/>
        <v>204.39999999999998</v>
      </c>
      <c r="S92" s="1334"/>
      <c r="T92" s="287">
        <f>SUM(T87:T87)</f>
        <v>1</v>
      </c>
      <c r="U92" s="288">
        <f>SUM(U87:U87)</f>
        <v>1</v>
      </c>
      <c r="V92" s="289"/>
      <c r="W92" s="255"/>
      <c r="X92" s="256"/>
    </row>
    <row r="93" spans="1:27" ht="15.75" hidden="1" customHeight="1" outlineLevel="1" x14ac:dyDescent="0.2">
      <c r="A93" s="1140" t="s">
        <v>17</v>
      </c>
      <c r="B93" s="1141" t="s">
        <v>17</v>
      </c>
      <c r="C93" s="1142" t="s">
        <v>268</v>
      </c>
      <c r="D93" s="1301" t="s">
        <v>219</v>
      </c>
      <c r="E93" s="1303" t="s">
        <v>269</v>
      </c>
      <c r="F93" s="302"/>
      <c r="G93" s="1303" t="s">
        <v>270</v>
      </c>
      <c r="H93" s="247" t="s">
        <v>222</v>
      </c>
      <c r="I93" s="257">
        <f t="shared" ref="I93:I98" si="22">J93+L93</f>
        <v>23.7</v>
      </c>
      <c r="J93" s="291">
        <v>23.7</v>
      </c>
      <c r="K93" s="292">
        <v>17.600000000000001</v>
      </c>
      <c r="L93" s="291">
        <v>0</v>
      </c>
      <c r="M93" s="260">
        <f t="shared" ref="M93:M98" si="23">N93+P93</f>
        <v>25.2</v>
      </c>
      <c r="N93" s="293">
        <v>25.2</v>
      </c>
      <c r="O93" s="293">
        <v>18.8</v>
      </c>
      <c r="P93" s="297">
        <v>0</v>
      </c>
      <c r="Q93" s="298">
        <v>25</v>
      </c>
      <c r="R93" s="295">
        <v>26</v>
      </c>
      <c r="S93" s="1333" t="s">
        <v>223</v>
      </c>
      <c r="T93" s="1345">
        <v>1</v>
      </c>
      <c r="U93" s="1346">
        <v>1</v>
      </c>
      <c r="V93" s="1296"/>
      <c r="W93" s="255"/>
      <c r="X93" s="256"/>
    </row>
    <row r="94" spans="1:27" ht="15.75" hidden="1" customHeight="1" outlineLevel="1" x14ac:dyDescent="0.2">
      <c r="A94" s="1140"/>
      <c r="B94" s="1141"/>
      <c r="C94" s="1142"/>
      <c r="D94" s="1301"/>
      <c r="E94" s="1303"/>
      <c r="F94" s="290" t="s">
        <v>271</v>
      </c>
      <c r="G94" s="1303"/>
      <c r="H94" s="275" t="s">
        <v>224</v>
      </c>
      <c r="I94" s="257">
        <f t="shared" si="22"/>
        <v>43.2</v>
      </c>
      <c r="J94" s="291">
        <v>43.2</v>
      </c>
      <c r="K94" s="292">
        <v>22.6</v>
      </c>
      <c r="L94" s="291">
        <v>0</v>
      </c>
      <c r="M94" s="260">
        <f t="shared" si="23"/>
        <v>39.299999999999997</v>
      </c>
      <c r="N94" s="293">
        <v>39.299999999999997</v>
      </c>
      <c r="O94" s="293">
        <v>22.7</v>
      </c>
      <c r="P94" s="297">
        <v>0</v>
      </c>
      <c r="Q94" s="298">
        <v>46.5</v>
      </c>
      <c r="R94" s="295">
        <v>48.2</v>
      </c>
      <c r="S94" s="1333"/>
      <c r="T94" s="1336"/>
      <c r="U94" s="1339"/>
      <c r="V94" s="1342"/>
      <c r="W94" s="296"/>
      <c r="X94" s="264"/>
      <c r="Y94" s="264"/>
      <c r="Z94" s="264"/>
      <c r="AA94" s="264"/>
    </row>
    <row r="95" spans="1:27" ht="15.75" hidden="1" customHeight="1" outlineLevel="1" x14ac:dyDescent="0.2">
      <c r="A95" s="1140"/>
      <c r="B95" s="1141"/>
      <c r="C95" s="1142"/>
      <c r="D95" s="1301"/>
      <c r="E95" s="1303"/>
      <c r="F95" s="290"/>
      <c r="G95" s="1303"/>
      <c r="H95" s="275" t="s">
        <v>225</v>
      </c>
      <c r="I95" s="257">
        <f t="shared" si="22"/>
        <v>0</v>
      </c>
      <c r="J95" s="291">
        <v>0</v>
      </c>
      <c r="K95" s="292">
        <v>0</v>
      </c>
      <c r="L95" s="291">
        <v>0</v>
      </c>
      <c r="M95" s="260">
        <f t="shared" si="23"/>
        <v>0</v>
      </c>
      <c r="N95" s="293">
        <v>0</v>
      </c>
      <c r="O95" s="293">
        <v>0</v>
      </c>
      <c r="P95" s="297">
        <v>0</v>
      </c>
      <c r="Q95" s="298">
        <v>0</v>
      </c>
      <c r="R95" s="295">
        <v>0</v>
      </c>
      <c r="S95" s="1333"/>
      <c r="T95" s="1336"/>
      <c r="U95" s="1339"/>
      <c r="V95" s="1342"/>
      <c r="W95" s="296"/>
      <c r="X95" s="264"/>
      <c r="Y95" s="264"/>
      <c r="Z95" s="264"/>
      <c r="AA95" s="264"/>
    </row>
    <row r="96" spans="1:27" ht="15.75" hidden="1" customHeight="1" outlineLevel="1" x14ac:dyDescent="0.2">
      <c r="A96" s="1140"/>
      <c r="B96" s="1141"/>
      <c r="C96" s="1142"/>
      <c r="D96" s="1301"/>
      <c r="E96" s="1303"/>
      <c r="F96" s="290" t="s">
        <v>272</v>
      </c>
      <c r="G96" s="1303"/>
      <c r="H96" s="275" t="s">
        <v>226</v>
      </c>
      <c r="I96" s="257">
        <f t="shared" si="22"/>
        <v>0.3</v>
      </c>
      <c r="J96" s="291">
        <v>0.3</v>
      </c>
      <c r="K96" s="292">
        <v>0</v>
      </c>
      <c r="L96" s="291">
        <v>0</v>
      </c>
      <c r="M96" s="260">
        <f t="shared" si="23"/>
        <v>0.3</v>
      </c>
      <c r="N96" s="293">
        <v>0.3</v>
      </c>
      <c r="O96" s="293">
        <v>0</v>
      </c>
      <c r="P96" s="297">
        <v>0</v>
      </c>
      <c r="Q96" s="298">
        <v>0.4</v>
      </c>
      <c r="R96" s="295">
        <v>0.4</v>
      </c>
      <c r="S96" s="1333"/>
      <c r="T96" s="1336"/>
      <c r="U96" s="1339"/>
      <c r="V96" s="1342"/>
      <c r="W96" s="296"/>
      <c r="X96" s="264"/>
      <c r="Y96" s="264"/>
      <c r="Z96" s="264"/>
      <c r="AA96" s="264"/>
    </row>
    <row r="97" spans="1:27" ht="15.75" hidden="1" customHeight="1" outlineLevel="1" x14ac:dyDescent="0.2">
      <c r="A97" s="1140"/>
      <c r="B97" s="1141"/>
      <c r="C97" s="1142"/>
      <c r="D97" s="1301"/>
      <c r="E97" s="1303"/>
      <c r="F97" s="246" t="s">
        <v>227</v>
      </c>
      <c r="G97" s="1303"/>
      <c r="H97" s="275" t="s">
        <v>73</v>
      </c>
      <c r="I97" s="257">
        <f t="shared" si="22"/>
        <v>0</v>
      </c>
      <c r="J97" s="291">
        <v>0</v>
      </c>
      <c r="K97" s="292">
        <v>0</v>
      </c>
      <c r="L97" s="291">
        <v>0</v>
      </c>
      <c r="M97" s="260">
        <f t="shared" si="23"/>
        <v>0.7</v>
      </c>
      <c r="N97" s="293">
        <v>0.7</v>
      </c>
      <c r="O97" s="293">
        <v>0.5</v>
      </c>
      <c r="P97" s="297">
        <v>0</v>
      </c>
      <c r="Q97" s="298">
        <v>0</v>
      </c>
      <c r="R97" s="295">
        <v>0</v>
      </c>
      <c r="S97" s="1333"/>
      <c r="T97" s="1336"/>
      <c r="U97" s="1339"/>
      <c r="V97" s="1342"/>
      <c r="W97" s="264"/>
      <c r="X97" s="264"/>
      <c r="Y97" s="264"/>
      <c r="Z97" s="264"/>
      <c r="AA97" s="264"/>
    </row>
    <row r="98" spans="1:27" ht="15.75" hidden="1" customHeight="1" outlineLevel="1" x14ac:dyDescent="0.2">
      <c r="A98" s="1140"/>
      <c r="B98" s="1141"/>
      <c r="C98" s="1142"/>
      <c r="D98" s="1301"/>
      <c r="E98" s="1303"/>
      <c r="F98" s="246"/>
      <c r="G98" s="1303"/>
      <c r="H98" s="275" t="s">
        <v>73</v>
      </c>
      <c r="I98" s="257">
        <f t="shared" si="22"/>
        <v>0</v>
      </c>
      <c r="J98" s="291">
        <v>0</v>
      </c>
      <c r="K98" s="292">
        <v>0</v>
      </c>
      <c r="L98" s="291">
        <v>0</v>
      </c>
      <c r="M98" s="260">
        <f t="shared" si="23"/>
        <v>0.1</v>
      </c>
      <c r="N98" s="293">
        <v>0.1</v>
      </c>
      <c r="O98" s="293">
        <v>0</v>
      </c>
      <c r="P98" s="297">
        <v>0</v>
      </c>
      <c r="Q98" s="298">
        <v>0</v>
      </c>
      <c r="R98" s="295">
        <v>0</v>
      </c>
      <c r="S98" s="1333"/>
      <c r="T98" s="1337"/>
      <c r="U98" s="1340"/>
      <c r="V98" s="1297"/>
      <c r="W98" s="264"/>
      <c r="X98" s="264"/>
      <c r="Y98" s="264"/>
      <c r="Z98" s="264"/>
      <c r="AA98" s="264"/>
    </row>
    <row r="99" spans="1:27" ht="15.75" hidden="1" customHeight="1" outlineLevel="1" x14ac:dyDescent="0.2">
      <c r="A99" s="1123"/>
      <c r="B99" s="1125"/>
      <c r="C99" s="1127"/>
      <c r="D99" s="1302"/>
      <c r="E99" s="1304"/>
      <c r="F99" s="304"/>
      <c r="G99" s="1332"/>
      <c r="H99" s="279" t="s">
        <v>13</v>
      </c>
      <c r="I99" s="280">
        <f t="shared" ref="I99:R99" si="24">SUM(I93:I98)</f>
        <v>67.2</v>
      </c>
      <c r="J99" s="281">
        <f t="shared" si="24"/>
        <v>67.2</v>
      </c>
      <c r="K99" s="282">
        <f t="shared" si="24"/>
        <v>40.200000000000003</v>
      </c>
      <c r="L99" s="281">
        <f t="shared" si="24"/>
        <v>0</v>
      </c>
      <c r="M99" s="283">
        <f t="shared" si="24"/>
        <v>65.599999999999994</v>
      </c>
      <c r="N99" s="284">
        <f t="shared" si="24"/>
        <v>65.599999999999994</v>
      </c>
      <c r="O99" s="284">
        <f t="shared" si="24"/>
        <v>42</v>
      </c>
      <c r="P99" s="300">
        <f t="shared" si="24"/>
        <v>0</v>
      </c>
      <c r="Q99" s="301">
        <f t="shared" si="24"/>
        <v>71.900000000000006</v>
      </c>
      <c r="R99" s="286">
        <f t="shared" si="24"/>
        <v>74.600000000000009</v>
      </c>
      <c r="S99" s="1334"/>
      <c r="T99" s="287">
        <f>SUM(T93:T93)</f>
        <v>1</v>
      </c>
      <c r="U99" s="288">
        <f>SUM(U93:U93)</f>
        <v>1</v>
      </c>
      <c r="V99" s="289"/>
      <c r="W99" s="255"/>
      <c r="X99" s="256"/>
    </row>
    <row r="100" spans="1:27" ht="18" customHeight="1" collapsed="1" x14ac:dyDescent="0.2">
      <c r="A100" s="1123" t="s">
        <v>17</v>
      </c>
      <c r="B100" s="1125" t="s">
        <v>17</v>
      </c>
      <c r="C100" s="1127" t="s">
        <v>18</v>
      </c>
      <c r="D100" s="1302" t="s">
        <v>273</v>
      </c>
      <c r="E100" s="1363" t="s">
        <v>274</v>
      </c>
      <c r="F100" s="305"/>
      <c r="G100" s="1364" t="s">
        <v>275</v>
      </c>
      <c r="H100" s="306" t="s">
        <v>222</v>
      </c>
      <c r="I100" s="307">
        <f t="shared" ref="I100:R105" si="25">I107+I114+I121+I128+I135+I142+I149+I156</f>
        <v>480.8</v>
      </c>
      <c r="J100" s="291">
        <f t="shared" si="25"/>
        <v>480.8</v>
      </c>
      <c r="K100" s="292">
        <f t="shared" si="25"/>
        <v>353.7</v>
      </c>
      <c r="L100" s="291">
        <f t="shared" si="25"/>
        <v>0</v>
      </c>
      <c r="M100" s="308">
        <f t="shared" si="25"/>
        <v>500.49999999999994</v>
      </c>
      <c r="N100" s="293">
        <f t="shared" si="25"/>
        <v>500.49999999999994</v>
      </c>
      <c r="O100" s="293">
        <f t="shared" si="25"/>
        <v>369</v>
      </c>
      <c r="P100" s="297">
        <f t="shared" si="25"/>
        <v>0</v>
      </c>
      <c r="Q100" s="309">
        <f t="shared" si="25"/>
        <v>494.79999999999995</v>
      </c>
      <c r="R100" s="295">
        <f t="shared" si="25"/>
        <v>508.29999999999995</v>
      </c>
      <c r="S100" s="1365" t="s">
        <v>276</v>
      </c>
      <c r="T100" s="1294">
        <f>T107+T114+T121+T128+T135+T142+T149+T156</f>
        <v>8</v>
      </c>
      <c r="U100" s="1168">
        <f>U107+U114+U121+U128+U135+U142+U149+U156</f>
        <v>8</v>
      </c>
      <c r="V100" s="1366"/>
      <c r="W100" s="255"/>
      <c r="X100" s="256"/>
      <c r="Y100" s="256"/>
      <c r="Z100" s="256"/>
      <c r="AA100" s="256"/>
    </row>
    <row r="101" spans="1:27" ht="18" customHeight="1" x14ac:dyDescent="0.2">
      <c r="A101" s="1123"/>
      <c r="B101" s="1125"/>
      <c r="C101" s="1127"/>
      <c r="D101" s="1302"/>
      <c r="E101" s="1303"/>
      <c r="F101" s="302"/>
      <c r="G101" s="1364"/>
      <c r="H101" s="306" t="s">
        <v>224</v>
      </c>
      <c r="I101" s="307">
        <f>J101+L101</f>
        <v>1342.1</v>
      </c>
      <c r="J101" s="291">
        <f t="shared" si="25"/>
        <v>1268.5</v>
      </c>
      <c r="K101" s="292">
        <f t="shared" si="25"/>
        <v>810.1</v>
      </c>
      <c r="L101" s="292">
        <f t="shared" si="25"/>
        <v>73.599999999999994</v>
      </c>
      <c r="M101" s="308">
        <f t="shared" si="25"/>
        <v>1255.9059999999999</v>
      </c>
      <c r="N101" s="293">
        <f t="shared" si="25"/>
        <v>1255.9059999999999</v>
      </c>
      <c r="O101" s="293">
        <f t="shared" si="25"/>
        <v>857.9000000000002</v>
      </c>
      <c r="P101" s="297">
        <f t="shared" si="25"/>
        <v>0</v>
      </c>
      <c r="Q101" s="309">
        <f t="shared" si="25"/>
        <v>1338.3</v>
      </c>
      <c r="R101" s="295">
        <f t="shared" si="25"/>
        <v>1406.8</v>
      </c>
      <c r="S101" s="1365"/>
      <c r="T101" s="1300"/>
      <c r="U101" s="1260"/>
      <c r="V101" s="1367"/>
      <c r="W101" s="264"/>
      <c r="X101" s="264"/>
      <c r="Y101" s="264"/>
      <c r="Z101" s="264"/>
    </row>
    <row r="102" spans="1:27" ht="18" customHeight="1" x14ac:dyDescent="0.2">
      <c r="A102" s="1123"/>
      <c r="B102" s="1125"/>
      <c r="C102" s="1127"/>
      <c r="D102" s="1302"/>
      <c r="E102" s="1303"/>
      <c r="F102" s="302"/>
      <c r="G102" s="1364"/>
      <c r="H102" s="306" t="s">
        <v>225</v>
      </c>
      <c r="I102" s="307">
        <f>I109+I116+I123+I130+I137+I144+I151+I158</f>
        <v>125.7</v>
      </c>
      <c r="J102" s="291">
        <f t="shared" si="25"/>
        <v>125.7</v>
      </c>
      <c r="K102" s="292">
        <f t="shared" si="25"/>
        <v>0</v>
      </c>
      <c r="L102" s="291">
        <f t="shared" si="25"/>
        <v>0</v>
      </c>
      <c r="M102" s="308">
        <f t="shared" si="25"/>
        <v>123.49600000000001</v>
      </c>
      <c r="N102" s="293">
        <f t="shared" si="25"/>
        <v>123.49600000000001</v>
      </c>
      <c r="O102" s="293">
        <f t="shared" si="25"/>
        <v>0</v>
      </c>
      <c r="P102" s="297">
        <f t="shared" si="25"/>
        <v>0</v>
      </c>
      <c r="Q102" s="309">
        <f t="shared" si="25"/>
        <v>133.5</v>
      </c>
      <c r="R102" s="295">
        <f t="shared" si="25"/>
        <v>138.9</v>
      </c>
      <c r="S102" s="1365"/>
      <c r="T102" s="1300"/>
      <c r="U102" s="1260"/>
      <c r="V102" s="1367"/>
      <c r="W102" s="264"/>
      <c r="X102" s="265"/>
      <c r="Y102" s="265"/>
      <c r="Z102" s="265"/>
      <c r="AA102" s="265"/>
    </row>
    <row r="103" spans="1:27" ht="18" customHeight="1" x14ac:dyDescent="0.2">
      <c r="A103" s="1123"/>
      <c r="B103" s="1125"/>
      <c r="C103" s="1127"/>
      <c r="D103" s="1302"/>
      <c r="E103" s="1303"/>
      <c r="F103" s="302"/>
      <c r="G103" s="1364"/>
      <c r="H103" s="306" t="s">
        <v>226</v>
      </c>
      <c r="I103" s="307">
        <f>I110+I117+I124+I131+I138+I145+I152+I159</f>
        <v>0</v>
      </c>
      <c r="J103" s="291">
        <f t="shared" si="25"/>
        <v>0</v>
      </c>
      <c r="K103" s="292">
        <f t="shared" si="25"/>
        <v>0</v>
      </c>
      <c r="L103" s="291">
        <f t="shared" si="25"/>
        <v>0</v>
      </c>
      <c r="M103" s="308">
        <f>M159</f>
        <v>0</v>
      </c>
      <c r="N103" s="293">
        <f>N159</f>
        <v>0</v>
      </c>
      <c r="O103" s="293">
        <f>O159</f>
        <v>0</v>
      </c>
      <c r="P103" s="297">
        <f>P159</f>
        <v>0</v>
      </c>
      <c r="Q103" s="309">
        <f>Q110+Q117+Q124+Q131+Q138+Q145+Q152+Q159</f>
        <v>0</v>
      </c>
      <c r="R103" s="295">
        <f>R110+R117+R124+R131+R138+R145+R152+R159</f>
        <v>0</v>
      </c>
      <c r="S103" s="1365"/>
      <c r="T103" s="1300"/>
      <c r="U103" s="1260"/>
      <c r="V103" s="1367"/>
      <c r="W103" s="255"/>
      <c r="X103" s="256"/>
    </row>
    <row r="104" spans="1:27" ht="18" customHeight="1" x14ac:dyDescent="0.2">
      <c r="A104" s="1123"/>
      <c r="B104" s="1125"/>
      <c r="C104" s="1127"/>
      <c r="D104" s="1302"/>
      <c r="E104" s="1303"/>
      <c r="F104" s="246" t="s">
        <v>227</v>
      </c>
      <c r="G104" s="1364"/>
      <c r="H104" s="306" t="s">
        <v>73</v>
      </c>
      <c r="I104" s="307">
        <f>I111+I118+I125+I132+I139+I146+I153+I160</f>
        <v>0</v>
      </c>
      <c r="J104" s="291">
        <f t="shared" si="25"/>
        <v>0</v>
      </c>
      <c r="K104" s="292">
        <f t="shared" si="25"/>
        <v>0</v>
      </c>
      <c r="L104" s="291">
        <f t="shared" si="25"/>
        <v>0</v>
      </c>
      <c r="M104" s="310">
        <f>M111+M118+M125+M132+M139+M146+M153+M160</f>
        <v>21.299999999999997</v>
      </c>
      <c r="N104" s="291">
        <f>N111+N118+N125+N132+N139+N146+N153+N160</f>
        <v>21.299999999999997</v>
      </c>
      <c r="O104" s="291">
        <f>O111+O118+O125+O132+O139+O146+O153+O160</f>
        <v>16.2</v>
      </c>
      <c r="P104" s="900">
        <f>P111+P118+P125+P132+P139+P146+P153+P160</f>
        <v>0</v>
      </c>
      <c r="Q104" s="984">
        <f>Q111+Q118+Q125+Q132+Q139+Q146+Q153+Q160</f>
        <v>0</v>
      </c>
      <c r="R104" s="984">
        <f>R111+R118+R125+R132+R139+R146+R153+R160</f>
        <v>0</v>
      </c>
      <c r="S104" s="1365"/>
      <c r="T104" s="1300"/>
      <c r="U104" s="1260"/>
      <c r="V104" s="1367"/>
      <c r="W104" s="255"/>
      <c r="X104" s="256"/>
    </row>
    <row r="105" spans="1:27" ht="18" customHeight="1" x14ac:dyDescent="0.2">
      <c r="A105" s="1123"/>
      <c r="B105" s="1125"/>
      <c r="C105" s="1127"/>
      <c r="D105" s="1302"/>
      <c r="E105" s="1303"/>
      <c r="F105" s="302"/>
      <c r="G105" s="1364"/>
      <c r="H105" s="306" t="s">
        <v>73</v>
      </c>
      <c r="I105" s="307">
        <f>J105+L105</f>
        <v>0</v>
      </c>
      <c r="J105" s="291">
        <f>J112+J119+J126+J133+J140+J147+J154+J161</f>
        <v>0</v>
      </c>
      <c r="K105" s="291">
        <f t="shared" si="25"/>
        <v>0</v>
      </c>
      <c r="L105" s="291">
        <f t="shared" si="25"/>
        <v>0</v>
      </c>
      <c r="M105" s="310">
        <f t="shared" si="25"/>
        <v>18.5</v>
      </c>
      <c r="N105" s="291">
        <f t="shared" si="25"/>
        <v>18.5</v>
      </c>
      <c r="O105" s="291">
        <f t="shared" si="25"/>
        <v>14.100000000000001</v>
      </c>
      <c r="P105" s="900">
        <f t="shared" si="25"/>
        <v>0</v>
      </c>
      <c r="Q105" s="984">
        <f t="shared" si="25"/>
        <v>0</v>
      </c>
      <c r="R105" s="984">
        <f t="shared" si="25"/>
        <v>0</v>
      </c>
      <c r="S105" s="1365"/>
      <c r="T105" s="1295"/>
      <c r="U105" s="1169"/>
      <c r="V105" s="1368"/>
      <c r="W105" s="255"/>
      <c r="X105" s="256"/>
    </row>
    <row r="106" spans="1:27" ht="23.25" customHeight="1" x14ac:dyDescent="0.2">
      <c r="A106" s="1123"/>
      <c r="B106" s="1125"/>
      <c r="C106" s="1127"/>
      <c r="D106" s="1302"/>
      <c r="E106" s="1304"/>
      <c r="F106" s="304"/>
      <c r="G106" s="1364"/>
      <c r="H106" s="279" t="s">
        <v>13</v>
      </c>
      <c r="I106" s="312">
        <f t="shared" ref="I106:R106" si="26">SUM(I100:I105)</f>
        <v>1948.6</v>
      </c>
      <c r="J106" s="313">
        <f t="shared" si="26"/>
        <v>1875</v>
      </c>
      <c r="K106" s="288">
        <f t="shared" si="26"/>
        <v>1163.8</v>
      </c>
      <c r="L106" s="313">
        <f t="shared" si="26"/>
        <v>73.599999999999994</v>
      </c>
      <c r="M106" s="314">
        <f t="shared" si="26"/>
        <v>1919.702</v>
      </c>
      <c r="N106" s="315">
        <f t="shared" si="26"/>
        <v>1919.702</v>
      </c>
      <c r="O106" s="315">
        <f t="shared" si="26"/>
        <v>1257.2</v>
      </c>
      <c r="P106" s="316">
        <f t="shared" si="26"/>
        <v>0</v>
      </c>
      <c r="Q106" s="317">
        <f t="shared" si="26"/>
        <v>1966.6</v>
      </c>
      <c r="R106" s="318">
        <f t="shared" si="26"/>
        <v>2054</v>
      </c>
      <c r="S106" s="1365"/>
      <c r="T106" s="287">
        <f>SUM(T100)</f>
        <v>8</v>
      </c>
      <c r="U106" s="288">
        <f>SUM(U100)</f>
        <v>8</v>
      </c>
      <c r="V106" s="289"/>
      <c r="W106" s="255"/>
      <c r="X106" s="256"/>
    </row>
    <row r="107" spans="1:27" ht="13.5" hidden="1" customHeight="1" outlineLevel="1" x14ac:dyDescent="0.2">
      <c r="A107" s="1123" t="s">
        <v>17</v>
      </c>
      <c r="B107" s="1125" t="s">
        <v>17</v>
      </c>
      <c r="C107" s="1127" t="s">
        <v>277</v>
      </c>
      <c r="D107" s="1302" t="s">
        <v>273</v>
      </c>
      <c r="E107" s="1363" t="s">
        <v>278</v>
      </c>
      <c r="F107" s="305"/>
      <c r="G107" s="1364" t="s">
        <v>279</v>
      </c>
      <c r="H107" s="306" t="s">
        <v>222</v>
      </c>
      <c r="I107" s="307">
        <f t="shared" ref="I107:I112" si="27">J107+L107</f>
        <v>38.9</v>
      </c>
      <c r="J107" s="291">
        <v>38.9</v>
      </c>
      <c r="K107" s="292">
        <v>29.7</v>
      </c>
      <c r="L107" s="291">
        <v>0</v>
      </c>
      <c r="M107" s="308">
        <f>N107+P107</f>
        <v>38.9</v>
      </c>
      <c r="N107" s="293">
        <v>38.9</v>
      </c>
      <c r="O107" s="293">
        <v>29.7</v>
      </c>
      <c r="P107" s="297">
        <v>0</v>
      </c>
      <c r="Q107" s="309">
        <v>40</v>
      </c>
      <c r="R107" s="295">
        <v>42</v>
      </c>
      <c r="S107" s="1365" t="s">
        <v>276</v>
      </c>
      <c r="T107" s="1294">
        <v>1</v>
      </c>
      <c r="U107" s="1168">
        <v>1</v>
      </c>
      <c r="V107" s="1366"/>
      <c r="W107" s="255"/>
      <c r="X107" s="256"/>
    </row>
    <row r="108" spans="1:27" ht="12.75" hidden="1" customHeight="1" outlineLevel="1" x14ac:dyDescent="0.2">
      <c r="A108" s="1123"/>
      <c r="B108" s="1125"/>
      <c r="C108" s="1127"/>
      <c r="D108" s="1302"/>
      <c r="E108" s="1303"/>
      <c r="F108" s="290" t="s">
        <v>280</v>
      </c>
      <c r="G108" s="1364"/>
      <c r="H108" s="306" t="s">
        <v>224</v>
      </c>
      <c r="I108" s="307">
        <f t="shared" si="27"/>
        <v>280</v>
      </c>
      <c r="J108" s="291">
        <v>280</v>
      </c>
      <c r="K108" s="292">
        <v>180</v>
      </c>
      <c r="L108" s="291">
        <v>0</v>
      </c>
      <c r="M108" s="308">
        <f>N108+P108</f>
        <v>263.7</v>
      </c>
      <c r="N108" s="293">
        <v>263.7</v>
      </c>
      <c r="O108" s="293">
        <v>199.6</v>
      </c>
      <c r="P108" s="297">
        <v>0</v>
      </c>
      <c r="Q108" s="309">
        <v>270</v>
      </c>
      <c r="R108" s="295">
        <v>295</v>
      </c>
      <c r="S108" s="1365"/>
      <c r="T108" s="1300"/>
      <c r="U108" s="1260"/>
      <c r="V108" s="1367"/>
      <c r="W108" s="264"/>
      <c r="X108" s="264"/>
      <c r="Y108" s="264"/>
      <c r="Z108" s="264"/>
    </row>
    <row r="109" spans="1:27" ht="12.75" hidden="1" customHeight="1" outlineLevel="1" x14ac:dyDescent="0.2">
      <c r="A109" s="1123"/>
      <c r="B109" s="1125"/>
      <c r="C109" s="1127"/>
      <c r="D109" s="1302"/>
      <c r="E109" s="1303"/>
      <c r="F109" s="319" t="s">
        <v>281</v>
      </c>
      <c r="G109" s="1364"/>
      <c r="H109" s="306" t="s">
        <v>225</v>
      </c>
      <c r="I109" s="307">
        <f t="shared" si="27"/>
        <v>23</v>
      </c>
      <c r="J109" s="291">
        <v>23</v>
      </c>
      <c r="K109" s="292">
        <v>0</v>
      </c>
      <c r="L109" s="291">
        <v>0</v>
      </c>
      <c r="M109" s="308">
        <f>N109+P108:P109</f>
        <v>23</v>
      </c>
      <c r="N109" s="293">
        <v>23</v>
      </c>
      <c r="O109" s="293">
        <v>0</v>
      </c>
      <c r="P109" s="297">
        <v>0</v>
      </c>
      <c r="Q109" s="309">
        <v>24</v>
      </c>
      <c r="R109" s="295">
        <v>24.5</v>
      </c>
      <c r="S109" s="1365"/>
      <c r="T109" s="1300"/>
      <c r="U109" s="1260"/>
      <c r="V109" s="1367"/>
      <c r="W109" s="264"/>
      <c r="X109" s="264"/>
      <c r="Y109" s="264"/>
      <c r="Z109" s="264"/>
    </row>
    <row r="110" spans="1:27" ht="12.75" hidden="1" customHeight="1" outlineLevel="1" x14ac:dyDescent="0.2">
      <c r="A110" s="1123"/>
      <c r="B110" s="1125"/>
      <c r="C110" s="1127"/>
      <c r="D110" s="1302"/>
      <c r="E110" s="1303"/>
      <c r="F110" s="302"/>
      <c r="G110" s="1364"/>
      <c r="H110" s="306" t="s">
        <v>226</v>
      </c>
      <c r="I110" s="307">
        <f t="shared" si="27"/>
        <v>0</v>
      </c>
      <c r="J110" s="291">
        <v>0</v>
      </c>
      <c r="K110" s="292">
        <v>0</v>
      </c>
      <c r="L110" s="291">
        <v>0</v>
      </c>
      <c r="M110" s="308">
        <f>N110+P110</f>
        <v>0</v>
      </c>
      <c r="N110" s="293">
        <v>0</v>
      </c>
      <c r="O110" s="293">
        <v>0</v>
      </c>
      <c r="P110" s="297">
        <v>0</v>
      </c>
      <c r="Q110" s="309">
        <v>0</v>
      </c>
      <c r="R110" s="295">
        <v>0</v>
      </c>
      <c r="S110" s="1365"/>
      <c r="T110" s="1300"/>
      <c r="U110" s="1260"/>
      <c r="V110" s="1367"/>
      <c r="W110" s="255"/>
      <c r="X110" s="256"/>
    </row>
    <row r="111" spans="1:27" ht="12.75" hidden="1" customHeight="1" outlineLevel="1" x14ac:dyDescent="0.2">
      <c r="A111" s="1123"/>
      <c r="B111" s="1125"/>
      <c r="C111" s="1127"/>
      <c r="D111" s="1302"/>
      <c r="E111" s="1303"/>
      <c r="F111" s="246" t="s">
        <v>227</v>
      </c>
      <c r="G111" s="1364"/>
      <c r="H111" s="306" t="s">
        <v>73</v>
      </c>
      <c r="I111" s="307">
        <f t="shared" si="27"/>
        <v>0</v>
      </c>
      <c r="J111" s="291">
        <v>0</v>
      </c>
      <c r="K111" s="292">
        <v>0</v>
      </c>
      <c r="L111" s="291">
        <v>0</v>
      </c>
      <c r="M111" s="308">
        <f>N111+P111</f>
        <v>6.1</v>
      </c>
      <c r="N111" s="293">
        <v>6.1</v>
      </c>
      <c r="O111" s="293">
        <v>4.5999999999999996</v>
      </c>
      <c r="P111" s="297">
        <v>0</v>
      </c>
      <c r="Q111" s="309">
        <v>0</v>
      </c>
      <c r="R111" s="295">
        <v>0</v>
      </c>
      <c r="S111" s="1365"/>
      <c r="T111" s="1300"/>
      <c r="U111" s="1260"/>
      <c r="V111" s="1367"/>
      <c r="W111" s="255"/>
      <c r="X111" s="256"/>
    </row>
    <row r="112" spans="1:27" ht="12.75" hidden="1" customHeight="1" outlineLevel="1" x14ac:dyDescent="0.2">
      <c r="A112" s="1123"/>
      <c r="B112" s="1125"/>
      <c r="C112" s="1127"/>
      <c r="D112" s="1302"/>
      <c r="E112" s="1303"/>
      <c r="F112" s="302"/>
      <c r="G112" s="1364"/>
      <c r="H112" s="306" t="s">
        <v>73</v>
      </c>
      <c r="I112" s="307">
        <f t="shared" si="27"/>
        <v>0</v>
      </c>
      <c r="J112" s="291">
        <v>0</v>
      </c>
      <c r="K112" s="292">
        <v>0</v>
      </c>
      <c r="L112" s="291">
        <v>0</v>
      </c>
      <c r="M112" s="308">
        <f>N112+P112</f>
        <v>0.6</v>
      </c>
      <c r="N112" s="293">
        <v>0.6</v>
      </c>
      <c r="O112" s="293">
        <v>0.4</v>
      </c>
      <c r="P112" s="297">
        <v>0</v>
      </c>
      <c r="Q112" s="309">
        <v>0</v>
      </c>
      <c r="R112" s="295">
        <v>0</v>
      </c>
      <c r="S112" s="1365"/>
      <c r="T112" s="1295"/>
      <c r="U112" s="1169"/>
      <c r="V112" s="1368"/>
      <c r="W112" s="255"/>
      <c r="X112" s="256"/>
    </row>
    <row r="113" spans="1:26" ht="19.5" hidden="1" customHeight="1" outlineLevel="1" x14ac:dyDescent="0.2">
      <c r="A113" s="1123"/>
      <c r="B113" s="1125"/>
      <c r="C113" s="1127"/>
      <c r="D113" s="1302"/>
      <c r="E113" s="1304"/>
      <c r="F113" s="304"/>
      <c r="G113" s="1364"/>
      <c r="H113" s="279" t="s">
        <v>13</v>
      </c>
      <c r="I113" s="312">
        <f>SUM(I107:I111)</f>
        <v>341.9</v>
      </c>
      <c r="J113" s="313">
        <f t="shared" ref="J113:R113" si="28">SUM(J107:J112)</f>
        <v>341.9</v>
      </c>
      <c r="K113" s="288">
        <f t="shared" si="28"/>
        <v>209.7</v>
      </c>
      <c r="L113" s="313">
        <f t="shared" si="28"/>
        <v>0</v>
      </c>
      <c r="M113" s="314">
        <f t="shared" si="28"/>
        <v>332.3</v>
      </c>
      <c r="N113" s="315">
        <f t="shared" si="28"/>
        <v>332.3</v>
      </c>
      <c r="O113" s="315">
        <f t="shared" si="28"/>
        <v>234.29999999999998</v>
      </c>
      <c r="P113" s="316">
        <f t="shared" si="28"/>
        <v>0</v>
      </c>
      <c r="Q113" s="317">
        <f t="shared" si="28"/>
        <v>334</v>
      </c>
      <c r="R113" s="318">
        <f t="shared" si="28"/>
        <v>361.5</v>
      </c>
      <c r="S113" s="1365"/>
      <c r="T113" s="287">
        <f>SUM(T107)</f>
        <v>1</v>
      </c>
      <c r="U113" s="288">
        <f>SUM(U107)</f>
        <v>1</v>
      </c>
      <c r="V113" s="289"/>
      <c r="W113" s="255"/>
      <c r="X113" s="256"/>
    </row>
    <row r="114" spans="1:26" ht="13.5" hidden="1" customHeight="1" outlineLevel="1" x14ac:dyDescent="0.2">
      <c r="A114" s="1123" t="s">
        <v>17</v>
      </c>
      <c r="B114" s="1125" t="s">
        <v>17</v>
      </c>
      <c r="C114" s="1127" t="s">
        <v>282</v>
      </c>
      <c r="D114" s="1302" t="s">
        <v>273</v>
      </c>
      <c r="E114" s="1363" t="s">
        <v>283</v>
      </c>
      <c r="F114" s="320"/>
      <c r="G114" s="1364" t="s">
        <v>284</v>
      </c>
      <c r="H114" s="306" t="s">
        <v>222</v>
      </c>
      <c r="I114" s="307">
        <f t="shared" ref="I114:I119" si="29">J114+L114</f>
        <v>84.2</v>
      </c>
      <c r="J114" s="291">
        <v>84.2</v>
      </c>
      <c r="K114" s="292">
        <v>61.6</v>
      </c>
      <c r="L114" s="291">
        <v>0</v>
      </c>
      <c r="M114" s="308">
        <f t="shared" ref="M114:M119" si="30">N114+P114</f>
        <v>88</v>
      </c>
      <c r="N114" s="293">
        <v>88</v>
      </c>
      <c r="O114" s="293">
        <v>64.5</v>
      </c>
      <c r="P114" s="297">
        <v>0</v>
      </c>
      <c r="Q114" s="309">
        <v>84.5</v>
      </c>
      <c r="R114" s="295">
        <v>84.5</v>
      </c>
      <c r="S114" s="1365" t="s">
        <v>276</v>
      </c>
      <c r="T114" s="1294">
        <v>1</v>
      </c>
      <c r="U114" s="1168">
        <v>1</v>
      </c>
      <c r="V114" s="1366"/>
      <c r="W114" s="255"/>
      <c r="X114" s="256"/>
    </row>
    <row r="115" spans="1:26" ht="12.75" hidden="1" customHeight="1" outlineLevel="1" x14ac:dyDescent="0.2">
      <c r="A115" s="1123"/>
      <c r="B115" s="1125"/>
      <c r="C115" s="1127"/>
      <c r="D115" s="1302"/>
      <c r="E115" s="1303"/>
      <c r="F115" s="290" t="s">
        <v>285</v>
      </c>
      <c r="G115" s="1364"/>
      <c r="H115" s="306" t="s">
        <v>224</v>
      </c>
      <c r="I115" s="307">
        <f t="shared" si="29"/>
        <v>195.7</v>
      </c>
      <c r="J115" s="291">
        <v>195.7</v>
      </c>
      <c r="K115" s="292">
        <v>124.6</v>
      </c>
      <c r="L115" s="291">
        <v>0</v>
      </c>
      <c r="M115" s="308">
        <f t="shared" si="30"/>
        <v>209.58</v>
      </c>
      <c r="N115" s="293">
        <v>209.58</v>
      </c>
      <c r="O115" s="293">
        <v>138.6</v>
      </c>
      <c r="P115" s="297">
        <v>0</v>
      </c>
      <c r="Q115" s="309">
        <v>180</v>
      </c>
      <c r="R115" s="295">
        <v>185</v>
      </c>
      <c r="S115" s="1365"/>
      <c r="T115" s="1300"/>
      <c r="U115" s="1260"/>
      <c r="V115" s="1367"/>
      <c r="W115" s="264"/>
      <c r="X115" s="264"/>
      <c r="Y115" s="264"/>
      <c r="Z115" s="264"/>
    </row>
    <row r="116" spans="1:26" ht="12.75" hidden="1" customHeight="1" outlineLevel="1" x14ac:dyDescent="0.2">
      <c r="A116" s="1123"/>
      <c r="B116" s="1125"/>
      <c r="C116" s="1127"/>
      <c r="D116" s="1302"/>
      <c r="E116" s="1303"/>
      <c r="F116" s="290"/>
      <c r="G116" s="1364"/>
      <c r="H116" s="306" t="s">
        <v>225</v>
      </c>
      <c r="I116" s="307">
        <f t="shared" si="29"/>
        <v>24</v>
      </c>
      <c r="J116" s="291">
        <v>24</v>
      </c>
      <c r="K116" s="292">
        <v>0</v>
      </c>
      <c r="L116" s="291">
        <v>0</v>
      </c>
      <c r="M116" s="308">
        <f t="shared" si="30"/>
        <v>24</v>
      </c>
      <c r="N116" s="293">
        <v>24</v>
      </c>
      <c r="O116" s="293">
        <v>0</v>
      </c>
      <c r="P116" s="297">
        <v>0</v>
      </c>
      <c r="Q116" s="309">
        <v>24.2</v>
      </c>
      <c r="R116" s="295">
        <v>24.2</v>
      </c>
      <c r="S116" s="1365"/>
      <c r="T116" s="1300"/>
      <c r="U116" s="1260"/>
      <c r="V116" s="1367"/>
      <c r="W116" s="264"/>
      <c r="X116" s="264"/>
      <c r="Y116" s="264"/>
      <c r="Z116" s="264"/>
    </row>
    <row r="117" spans="1:26" ht="12.75" hidden="1" customHeight="1" outlineLevel="1" x14ac:dyDescent="0.2">
      <c r="A117" s="1123"/>
      <c r="B117" s="1125"/>
      <c r="C117" s="1127"/>
      <c r="D117" s="1302"/>
      <c r="E117" s="1303"/>
      <c r="F117" s="290"/>
      <c r="G117" s="1364"/>
      <c r="H117" s="306" t="s">
        <v>226</v>
      </c>
      <c r="I117" s="307">
        <f t="shared" si="29"/>
        <v>0</v>
      </c>
      <c r="J117" s="291">
        <v>0</v>
      </c>
      <c r="K117" s="292">
        <v>0</v>
      </c>
      <c r="L117" s="291">
        <v>0</v>
      </c>
      <c r="M117" s="308">
        <f t="shared" si="30"/>
        <v>0</v>
      </c>
      <c r="N117" s="293">
        <v>0</v>
      </c>
      <c r="O117" s="293">
        <v>0</v>
      </c>
      <c r="P117" s="297">
        <v>0</v>
      </c>
      <c r="Q117" s="309">
        <v>0</v>
      </c>
      <c r="R117" s="295">
        <v>0</v>
      </c>
      <c r="S117" s="1365"/>
      <c r="T117" s="1300"/>
      <c r="U117" s="1260"/>
      <c r="V117" s="1367"/>
      <c r="W117" s="255"/>
      <c r="X117" s="256"/>
    </row>
    <row r="118" spans="1:26" ht="12.75" hidden="1" customHeight="1" outlineLevel="1" x14ac:dyDescent="0.2">
      <c r="A118" s="1123"/>
      <c r="B118" s="1125"/>
      <c r="C118" s="1127"/>
      <c r="D118" s="1302"/>
      <c r="E118" s="1303"/>
      <c r="F118" s="246" t="s">
        <v>227</v>
      </c>
      <c r="G118" s="1364"/>
      <c r="H118" s="306" t="s">
        <v>73</v>
      </c>
      <c r="I118" s="307">
        <f t="shared" si="29"/>
        <v>0</v>
      </c>
      <c r="J118" s="291">
        <v>0</v>
      </c>
      <c r="K118" s="292">
        <v>0</v>
      </c>
      <c r="L118" s="291">
        <v>0</v>
      </c>
      <c r="M118" s="308">
        <f t="shared" si="30"/>
        <v>3.4</v>
      </c>
      <c r="N118" s="293">
        <v>3.4</v>
      </c>
      <c r="O118" s="293">
        <v>2.6</v>
      </c>
      <c r="P118" s="297">
        <v>0</v>
      </c>
      <c r="Q118" s="309">
        <v>0</v>
      </c>
      <c r="R118" s="295">
        <v>0</v>
      </c>
      <c r="S118" s="1365"/>
      <c r="T118" s="1300"/>
      <c r="U118" s="1260"/>
      <c r="V118" s="1367"/>
      <c r="W118" s="255"/>
      <c r="X118" s="256"/>
    </row>
    <row r="119" spans="1:26" ht="12.75" hidden="1" customHeight="1" outlineLevel="1" x14ac:dyDescent="0.2">
      <c r="A119" s="1123"/>
      <c r="B119" s="1125"/>
      <c r="C119" s="1127"/>
      <c r="D119" s="1302"/>
      <c r="E119" s="1303"/>
      <c r="F119" s="246"/>
      <c r="G119" s="1364"/>
      <c r="H119" s="306" t="s">
        <v>73</v>
      </c>
      <c r="I119" s="307">
        <f t="shared" si="29"/>
        <v>0</v>
      </c>
      <c r="J119" s="291">
        <v>0</v>
      </c>
      <c r="K119" s="292">
        <v>0</v>
      </c>
      <c r="L119" s="291">
        <v>0</v>
      </c>
      <c r="M119" s="308">
        <f t="shared" si="30"/>
        <v>3.8</v>
      </c>
      <c r="N119" s="293">
        <v>3.8</v>
      </c>
      <c r="O119" s="293">
        <v>2.9</v>
      </c>
      <c r="P119" s="297">
        <v>0</v>
      </c>
      <c r="Q119" s="309">
        <v>0</v>
      </c>
      <c r="R119" s="295">
        <v>0</v>
      </c>
      <c r="S119" s="1365"/>
      <c r="T119" s="1295"/>
      <c r="U119" s="1169"/>
      <c r="V119" s="1368"/>
      <c r="W119" s="255"/>
      <c r="X119" s="256"/>
    </row>
    <row r="120" spans="1:26" ht="19.5" hidden="1" customHeight="1" outlineLevel="1" x14ac:dyDescent="0.2">
      <c r="A120" s="1123"/>
      <c r="B120" s="1125"/>
      <c r="C120" s="1127"/>
      <c r="D120" s="1302"/>
      <c r="E120" s="1304"/>
      <c r="F120" s="299"/>
      <c r="G120" s="1364"/>
      <c r="H120" s="279" t="s">
        <v>13</v>
      </c>
      <c r="I120" s="312">
        <f t="shared" ref="I120:R120" si="31">SUM(I114:I119)</f>
        <v>303.89999999999998</v>
      </c>
      <c r="J120" s="313">
        <f t="shared" si="31"/>
        <v>303.89999999999998</v>
      </c>
      <c r="K120" s="288">
        <f t="shared" si="31"/>
        <v>186.2</v>
      </c>
      <c r="L120" s="313">
        <f t="shared" si="31"/>
        <v>0</v>
      </c>
      <c r="M120" s="314">
        <f t="shared" si="31"/>
        <v>328.78000000000003</v>
      </c>
      <c r="N120" s="315">
        <f t="shared" si="31"/>
        <v>328.78000000000003</v>
      </c>
      <c r="O120" s="315">
        <f t="shared" si="31"/>
        <v>208.6</v>
      </c>
      <c r="P120" s="316">
        <f t="shared" si="31"/>
        <v>0</v>
      </c>
      <c r="Q120" s="317">
        <f t="shared" si="31"/>
        <v>288.7</v>
      </c>
      <c r="R120" s="318">
        <f t="shared" si="31"/>
        <v>293.7</v>
      </c>
      <c r="S120" s="1365"/>
      <c r="T120" s="287">
        <f>SUM(T114)</f>
        <v>1</v>
      </c>
      <c r="U120" s="288">
        <f>SUM(U114)</f>
        <v>1</v>
      </c>
      <c r="V120" s="289"/>
      <c r="W120" s="255"/>
      <c r="X120" s="256"/>
    </row>
    <row r="121" spans="1:26" ht="13.5" hidden="1" customHeight="1" outlineLevel="1" x14ac:dyDescent="0.2">
      <c r="A121" s="1123" t="s">
        <v>17</v>
      </c>
      <c r="B121" s="1125" t="s">
        <v>17</v>
      </c>
      <c r="C121" s="1127" t="s">
        <v>286</v>
      </c>
      <c r="D121" s="1302" t="s">
        <v>273</v>
      </c>
      <c r="E121" s="1363" t="s">
        <v>283</v>
      </c>
      <c r="F121" s="320"/>
      <c r="G121" s="1364" t="s">
        <v>287</v>
      </c>
      <c r="H121" s="306" t="s">
        <v>222</v>
      </c>
      <c r="I121" s="307">
        <f t="shared" ref="I121:I126" si="32">J121+L121</f>
        <v>136.9</v>
      </c>
      <c r="J121" s="291">
        <v>136.9</v>
      </c>
      <c r="K121" s="292">
        <v>100.3</v>
      </c>
      <c r="L121" s="291">
        <v>0</v>
      </c>
      <c r="M121" s="308">
        <f t="shared" ref="M121:M126" si="33">N121+P121</f>
        <v>142.9</v>
      </c>
      <c r="N121" s="293">
        <v>142.9</v>
      </c>
      <c r="O121" s="293">
        <v>105</v>
      </c>
      <c r="P121" s="297">
        <v>0</v>
      </c>
      <c r="Q121" s="309">
        <v>136.9</v>
      </c>
      <c r="R121" s="295">
        <v>136.9</v>
      </c>
      <c r="S121" s="1365" t="s">
        <v>276</v>
      </c>
      <c r="T121" s="1294">
        <v>1</v>
      </c>
      <c r="U121" s="1168">
        <v>1</v>
      </c>
      <c r="V121" s="1366"/>
      <c r="W121" s="255"/>
      <c r="X121" s="256"/>
    </row>
    <row r="122" spans="1:26" ht="12.75" hidden="1" customHeight="1" outlineLevel="1" x14ac:dyDescent="0.2">
      <c r="A122" s="1123"/>
      <c r="B122" s="1125"/>
      <c r="C122" s="1127"/>
      <c r="D122" s="1302"/>
      <c r="E122" s="1303"/>
      <c r="F122" s="290" t="s">
        <v>288</v>
      </c>
      <c r="G122" s="1364"/>
      <c r="H122" s="306" t="s">
        <v>224</v>
      </c>
      <c r="I122" s="307">
        <f t="shared" si="32"/>
        <v>378.79999999999995</v>
      </c>
      <c r="J122" s="291">
        <v>314.2</v>
      </c>
      <c r="K122" s="292">
        <v>207</v>
      </c>
      <c r="L122" s="291">
        <v>64.599999999999994</v>
      </c>
      <c r="M122" s="308">
        <f t="shared" si="33"/>
        <v>320</v>
      </c>
      <c r="N122" s="293">
        <v>320</v>
      </c>
      <c r="O122" s="293">
        <v>224.4</v>
      </c>
      <c r="P122" s="297">
        <v>0</v>
      </c>
      <c r="Q122" s="309">
        <v>397.7</v>
      </c>
      <c r="R122" s="295">
        <v>417.6</v>
      </c>
      <c r="S122" s="1365"/>
      <c r="T122" s="1300"/>
      <c r="U122" s="1260"/>
      <c r="V122" s="1367"/>
      <c r="W122" s="264"/>
      <c r="X122" s="264"/>
      <c r="Y122" s="264"/>
      <c r="Z122" s="264"/>
    </row>
    <row r="123" spans="1:26" ht="12.75" hidden="1" customHeight="1" outlineLevel="1" x14ac:dyDescent="0.2">
      <c r="A123" s="1123"/>
      <c r="B123" s="1125"/>
      <c r="C123" s="1127"/>
      <c r="D123" s="1302"/>
      <c r="E123" s="1303"/>
      <c r="F123" s="290"/>
      <c r="G123" s="1364"/>
      <c r="H123" s="306" t="s">
        <v>225</v>
      </c>
      <c r="I123" s="307">
        <f t="shared" si="32"/>
        <v>33</v>
      </c>
      <c r="J123" s="291">
        <v>33</v>
      </c>
      <c r="K123" s="292">
        <v>0</v>
      </c>
      <c r="L123" s="291">
        <v>0</v>
      </c>
      <c r="M123" s="308">
        <f t="shared" si="33"/>
        <v>33</v>
      </c>
      <c r="N123" s="293">
        <v>33</v>
      </c>
      <c r="O123" s="293">
        <v>0</v>
      </c>
      <c r="P123" s="297">
        <v>0</v>
      </c>
      <c r="Q123" s="309">
        <v>35.6</v>
      </c>
      <c r="R123" s="295">
        <v>38.5</v>
      </c>
      <c r="S123" s="1365"/>
      <c r="T123" s="1300"/>
      <c r="U123" s="1260"/>
      <c r="V123" s="1367"/>
      <c r="W123" s="264"/>
      <c r="X123" s="264"/>
      <c r="Y123" s="264"/>
      <c r="Z123" s="264"/>
    </row>
    <row r="124" spans="1:26" ht="12.75" hidden="1" customHeight="1" outlineLevel="1" x14ac:dyDescent="0.2">
      <c r="A124" s="1123"/>
      <c r="B124" s="1125"/>
      <c r="C124" s="1127"/>
      <c r="D124" s="1302"/>
      <c r="E124" s="1303"/>
      <c r="F124" s="290"/>
      <c r="G124" s="1364"/>
      <c r="H124" s="306" t="s">
        <v>226</v>
      </c>
      <c r="I124" s="307">
        <f t="shared" si="32"/>
        <v>0</v>
      </c>
      <c r="J124" s="291">
        <v>0</v>
      </c>
      <c r="K124" s="292">
        <v>0</v>
      </c>
      <c r="L124" s="291">
        <v>0</v>
      </c>
      <c r="M124" s="308">
        <f t="shared" si="33"/>
        <v>0</v>
      </c>
      <c r="N124" s="293">
        <v>0</v>
      </c>
      <c r="O124" s="293">
        <v>0</v>
      </c>
      <c r="P124" s="297">
        <v>0</v>
      </c>
      <c r="Q124" s="309">
        <v>0</v>
      </c>
      <c r="R124" s="295">
        <v>0</v>
      </c>
      <c r="S124" s="1365"/>
      <c r="T124" s="1300"/>
      <c r="U124" s="1260"/>
      <c r="V124" s="1367"/>
      <c r="W124" s="255"/>
      <c r="X124" s="256"/>
    </row>
    <row r="125" spans="1:26" ht="12.75" hidden="1" customHeight="1" outlineLevel="1" x14ac:dyDescent="0.2">
      <c r="A125" s="1123"/>
      <c r="B125" s="1125"/>
      <c r="C125" s="1127"/>
      <c r="D125" s="1302"/>
      <c r="E125" s="1303"/>
      <c r="F125" s="246" t="s">
        <v>227</v>
      </c>
      <c r="G125" s="1364"/>
      <c r="H125" s="306" t="s">
        <v>73</v>
      </c>
      <c r="I125" s="307">
        <f t="shared" si="32"/>
        <v>0</v>
      </c>
      <c r="J125" s="291">
        <v>0</v>
      </c>
      <c r="K125" s="292">
        <v>0</v>
      </c>
      <c r="L125" s="291">
        <v>0</v>
      </c>
      <c r="M125" s="308">
        <f t="shared" si="33"/>
        <v>5.3</v>
      </c>
      <c r="N125" s="293">
        <v>5.3</v>
      </c>
      <c r="O125" s="293">
        <v>4</v>
      </c>
      <c r="P125" s="297">
        <v>0</v>
      </c>
      <c r="Q125" s="309">
        <v>0</v>
      </c>
      <c r="R125" s="295">
        <v>0</v>
      </c>
      <c r="S125" s="1365"/>
      <c r="T125" s="1300"/>
      <c r="U125" s="1260"/>
      <c r="V125" s="1367"/>
      <c r="W125" s="255"/>
      <c r="X125" s="256"/>
    </row>
    <row r="126" spans="1:26" ht="12.75" hidden="1" customHeight="1" outlineLevel="1" x14ac:dyDescent="0.2">
      <c r="A126" s="1123"/>
      <c r="B126" s="1125"/>
      <c r="C126" s="1127"/>
      <c r="D126" s="1302"/>
      <c r="E126" s="1303"/>
      <c r="F126" s="246"/>
      <c r="G126" s="1364"/>
      <c r="H126" s="306" t="s">
        <v>73</v>
      </c>
      <c r="I126" s="307">
        <f t="shared" si="32"/>
        <v>0</v>
      </c>
      <c r="J126" s="291">
        <v>0</v>
      </c>
      <c r="K126" s="292">
        <v>0</v>
      </c>
      <c r="L126" s="291">
        <v>0</v>
      </c>
      <c r="M126" s="308">
        <f t="shared" si="33"/>
        <v>5.7</v>
      </c>
      <c r="N126" s="293">
        <v>5.7</v>
      </c>
      <c r="O126" s="293">
        <v>4.3</v>
      </c>
      <c r="P126" s="297">
        <v>0</v>
      </c>
      <c r="Q126" s="309">
        <v>0</v>
      </c>
      <c r="R126" s="295">
        <v>0</v>
      </c>
      <c r="S126" s="1365"/>
      <c r="T126" s="1295"/>
      <c r="U126" s="1169"/>
      <c r="V126" s="1368"/>
      <c r="W126" s="255"/>
      <c r="X126" s="256"/>
    </row>
    <row r="127" spans="1:26" ht="20.25" hidden="1" customHeight="1" outlineLevel="1" x14ac:dyDescent="0.2">
      <c r="A127" s="1123"/>
      <c r="B127" s="1125"/>
      <c r="C127" s="1127"/>
      <c r="D127" s="1302"/>
      <c r="E127" s="1304"/>
      <c r="F127" s="299"/>
      <c r="G127" s="1364"/>
      <c r="H127" s="279" t="s">
        <v>13</v>
      </c>
      <c r="I127" s="312">
        <f>SUM(I121:I125)</f>
        <v>548.69999999999993</v>
      </c>
      <c r="J127" s="313">
        <f t="shared" ref="J127:P127" si="34">SUM(J121:J126)</f>
        <v>484.1</v>
      </c>
      <c r="K127" s="288">
        <f t="shared" si="34"/>
        <v>307.3</v>
      </c>
      <c r="L127" s="313">
        <f t="shared" si="34"/>
        <v>64.599999999999994</v>
      </c>
      <c r="M127" s="314">
        <f t="shared" si="34"/>
        <v>506.9</v>
      </c>
      <c r="N127" s="315">
        <f t="shared" si="34"/>
        <v>506.9</v>
      </c>
      <c r="O127" s="315">
        <f t="shared" si="34"/>
        <v>337.7</v>
      </c>
      <c r="P127" s="316">
        <f t="shared" si="34"/>
        <v>0</v>
      </c>
      <c r="Q127" s="317">
        <f>SUM(Q121:Q126)</f>
        <v>570.20000000000005</v>
      </c>
      <c r="R127" s="318">
        <f>SUM(R121:R126)</f>
        <v>593</v>
      </c>
      <c r="S127" s="1365"/>
      <c r="T127" s="287">
        <f>SUM(T121)</f>
        <v>1</v>
      </c>
      <c r="U127" s="288">
        <f>SUM(U121)</f>
        <v>1</v>
      </c>
      <c r="V127" s="289"/>
      <c r="W127" s="255"/>
      <c r="X127" s="256"/>
    </row>
    <row r="128" spans="1:26" ht="13.5" hidden="1" customHeight="1" outlineLevel="1" x14ac:dyDescent="0.2">
      <c r="A128" s="1123" t="s">
        <v>17</v>
      </c>
      <c r="B128" s="1125" t="s">
        <v>17</v>
      </c>
      <c r="C128" s="1127" t="s">
        <v>289</v>
      </c>
      <c r="D128" s="1302" t="s">
        <v>273</v>
      </c>
      <c r="E128" s="1363" t="s">
        <v>283</v>
      </c>
      <c r="F128" s="320"/>
      <c r="G128" s="1364" t="s">
        <v>290</v>
      </c>
      <c r="H128" s="306" t="s">
        <v>222</v>
      </c>
      <c r="I128" s="307">
        <f t="shared" ref="I128:I133" si="35">J128+L128</f>
        <v>89.1</v>
      </c>
      <c r="J128" s="291">
        <v>89.1</v>
      </c>
      <c r="K128" s="292">
        <v>65.5</v>
      </c>
      <c r="L128" s="291">
        <v>0</v>
      </c>
      <c r="M128" s="308">
        <f t="shared" ref="M128:M133" si="36">N128+P128</f>
        <v>93.1</v>
      </c>
      <c r="N128" s="293">
        <v>93.1</v>
      </c>
      <c r="O128" s="293">
        <v>68.599999999999994</v>
      </c>
      <c r="P128" s="297">
        <v>0</v>
      </c>
      <c r="Q128" s="309">
        <v>93</v>
      </c>
      <c r="R128" s="295">
        <v>96</v>
      </c>
      <c r="S128" s="1365" t="s">
        <v>276</v>
      </c>
      <c r="T128" s="1294">
        <v>1</v>
      </c>
      <c r="U128" s="1168">
        <v>1</v>
      </c>
      <c r="V128" s="1366"/>
      <c r="W128" s="255"/>
      <c r="X128" s="256"/>
    </row>
    <row r="129" spans="1:26" ht="12.75" hidden="1" customHeight="1" outlineLevel="1" x14ac:dyDescent="0.2">
      <c r="A129" s="1123"/>
      <c r="B129" s="1125"/>
      <c r="C129" s="1127"/>
      <c r="D129" s="1302"/>
      <c r="E129" s="1303"/>
      <c r="F129" s="290" t="s">
        <v>291</v>
      </c>
      <c r="G129" s="1364"/>
      <c r="H129" s="306" t="s">
        <v>224</v>
      </c>
      <c r="I129" s="307">
        <f t="shared" si="35"/>
        <v>161.19999999999999</v>
      </c>
      <c r="J129" s="291">
        <v>158.19999999999999</v>
      </c>
      <c r="K129" s="292">
        <v>102.4</v>
      </c>
      <c r="L129" s="291">
        <v>3</v>
      </c>
      <c r="M129" s="308">
        <f t="shared" si="36"/>
        <v>157.30000000000001</v>
      </c>
      <c r="N129" s="293">
        <v>157.30000000000001</v>
      </c>
      <c r="O129" s="293">
        <v>94.7</v>
      </c>
      <c r="P129" s="297">
        <v>0</v>
      </c>
      <c r="Q129" s="309">
        <v>172</v>
      </c>
      <c r="R129" s="295">
        <v>176</v>
      </c>
      <c r="S129" s="1365"/>
      <c r="T129" s="1300"/>
      <c r="U129" s="1260"/>
      <c r="V129" s="1367"/>
      <c r="W129" s="264"/>
      <c r="X129" s="264"/>
      <c r="Y129" s="264"/>
      <c r="Z129" s="264"/>
    </row>
    <row r="130" spans="1:26" ht="12.75" hidden="1" customHeight="1" outlineLevel="1" x14ac:dyDescent="0.2">
      <c r="A130" s="1123"/>
      <c r="B130" s="1125"/>
      <c r="C130" s="1127"/>
      <c r="D130" s="1302"/>
      <c r="E130" s="1303"/>
      <c r="F130" s="302"/>
      <c r="G130" s="1364"/>
      <c r="H130" s="306" t="s">
        <v>225</v>
      </c>
      <c r="I130" s="307">
        <f t="shared" si="35"/>
        <v>19.3</v>
      </c>
      <c r="J130" s="291">
        <v>19.3</v>
      </c>
      <c r="K130" s="292">
        <v>0</v>
      </c>
      <c r="L130" s="291">
        <v>0</v>
      </c>
      <c r="M130" s="308">
        <f t="shared" si="36"/>
        <v>16.5</v>
      </c>
      <c r="N130" s="293">
        <v>16.5</v>
      </c>
      <c r="O130" s="293">
        <v>0</v>
      </c>
      <c r="P130" s="297">
        <v>0</v>
      </c>
      <c r="Q130" s="309">
        <v>21</v>
      </c>
      <c r="R130" s="295">
        <v>22</v>
      </c>
      <c r="S130" s="1365"/>
      <c r="T130" s="1300"/>
      <c r="U130" s="1260"/>
      <c r="V130" s="1367"/>
      <c r="W130" s="264"/>
      <c r="X130" s="264"/>
      <c r="Y130" s="264"/>
      <c r="Z130" s="264"/>
    </row>
    <row r="131" spans="1:26" ht="12.75" hidden="1" customHeight="1" outlineLevel="1" x14ac:dyDescent="0.2">
      <c r="A131" s="1123"/>
      <c r="B131" s="1125"/>
      <c r="C131" s="1127"/>
      <c r="D131" s="1302"/>
      <c r="E131" s="1303"/>
      <c r="F131" s="302"/>
      <c r="G131" s="1364"/>
      <c r="H131" s="306" t="s">
        <v>226</v>
      </c>
      <c r="I131" s="307">
        <f t="shared" si="35"/>
        <v>0</v>
      </c>
      <c r="J131" s="291">
        <v>0</v>
      </c>
      <c r="K131" s="292">
        <v>0</v>
      </c>
      <c r="L131" s="291">
        <v>0</v>
      </c>
      <c r="M131" s="308">
        <f t="shared" si="36"/>
        <v>0</v>
      </c>
      <c r="N131" s="293">
        <v>0</v>
      </c>
      <c r="O131" s="293">
        <v>0</v>
      </c>
      <c r="P131" s="297">
        <v>0</v>
      </c>
      <c r="Q131" s="309">
        <v>0</v>
      </c>
      <c r="R131" s="295">
        <v>0</v>
      </c>
      <c r="S131" s="1365"/>
      <c r="T131" s="1300"/>
      <c r="U131" s="1260"/>
      <c r="V131" s="1367"/>
      <c r="W131" s="255"/>
      <c r="X131" s="256"/>
    </row>
    <row r="132" spans="1:26" ht="12.75" hidden="1" customHeight="1" outlineLevel="1" x14ac:dyDescent="0.2">
      <c r="A132" s="1123"/>
      <c r="B132" s="1125"/>
      <c r="C132" s="1127"/>
      <c r="D132" s="1302"/>
      <c r="E132" s="1303"/>
      <c r="F132" s="246" t="s">
        <v>227</v>
      </c>
      <c r="G132" s="1364"/>
      <c r="H132" s="306" t="s">
        <v>73</v>
      </c>
      <c r="I132" s="307">
        <f t="shared" si="35"/>
        <v>0</v>
      </c>
      <c r="J132" s="291">
        <v>0</v>
      </c>
      <c r="K132" s="292">
        <v>0</v>
      </c>
      <c r="L132" s="291">
        <v>0</v>
      </c>
      <c r="M132" s="308">
        <f t="shared" si="36"/>
        <v>2.5</v>
      </c>
      <c r="N132" s="293">
        <v>2.5</v>
      </c>
      <c r="O132" s="293">
        <v>1.9</v>
      </c>
      <c r="P132" s="297">
        <v>0</v>
      </c>
      <c r="Q132" s="309">
        <v>0</v>
      </c>
      <c r="R132" s="295">
        <v>0</v>
      </c>
      <c r="S132" s="1365"/>
      <c r="T132" s="1300"/>
      <c r="U132" s="1260"/>
      <c r="V132" s="1367"/>
      <c r="W132" s="255"/>
      <c r="X132" s="256"/>
    </row>
    <row r="133" spans="1:26" ht="12.75" hidden="1" customHeight="1" outlineLevel="1" x14ac:dyDescent="0.2">
      <c r="A133" s="1123"/>
      <c r="B133" s="1125"/>
      <c r="C133" s="1127"/>
      <c r="D133" s="1302"/>
      <c r="E133" s="1303"/>
      <c r="F133" s="302"/>
      <c r="G133" s="1364"/>
      <c r="H133" s="306" t="s">
        <v>73</v>
      </c>
      <c r="I133" s="307">
        <f t="shared" si="35"/>
        <v>0</v>
      </c>
      <c r="J133" s="291">
        <v>0</v>
      </c>
      <c r="K133" s="292">
        <v>0</v>
      </c>
      <c r="L133" s="291">
        <v>0</v>
      </c>
      <c r="M133" s="308">
        <f t="shared" si="36"/>
        <v>2.2999999999999998</v>
      </c>
      <c r="N133" s="293">
        <v>2.2999999999999998</v>
      </c>
      <c r="O133" s="293">
        <v>1.8</v>
      </c>
      <c r="P133" s="297">
        <v>0</v>
      </c>
      <c r="Q133" s="309">
        <v>0</v>
      </c>
      <c r="R133" s="295">
        <v>0</v>
      </c>
      <c r="S133" s="1365"/>
      <c r="T133" s="1295"/>
      <c r="U133" s="1169"/>
      <c r="V133" s="1368"/>
      <c r="W133" s="255"/>
      <c r="X133" s="256"/>
    </row>
    <row r="134" spans="1:26" ht="20.25" hidden="1" customHeight="1" outlineLevel="1" x14ac:dyDescent="0.2">
      <c r="A134" s="1123"/>
      <c r="B134" s="1125"/>
      <c r="C134" s="1127"/>
      <c r="D134" s="1302"/>
      <c r="E134" s="1304"/>
      <c r="F134" s="304"/>
      <c r="G134" s="1364"/>
      <c r="H134" s="279" t="s">
        <v>13</v>
      </c>
      <c r="I134" s="312">
        <f>SUM(I128:I132)</f>
        <v>269.59999999999997</v>
      </c>
      <c r="J134" s="313">
        <f t="shared" ref="J134:R134" si="37">SUM(J128:J133)</f>
        <v>266.59999999999997</v>
      </c>
      <c r="K134" s="288">
        <f t="shared" si="37"/>
        <v>167.9</v>
      </c>
      <c r="L134" s="313">
        <f t="shared" si="37"/>
        <v>3</v>
      </c>
      <c r="M134" s="314">
        <f t="shared" si="37"/>
        <v>271.7</v>
      </c>
      <c r="N134" s="315">
        <f t="shared" si="37"/>
        <v>271.7</v>
      </c>
      <c r="O134" s="315">
        <f t="shared" si="37"/>
        <v>167.00000000000003</v>
      </c>
      <c r="P134" s="316">
        <f t="shared" si="37"/>
        <v>0</v>
      </c>
      <c r="Q134" s="317">
        <f t="shared" si="37"/>
        <v>286</v>
      </c>
      <c r="R134" s="318">
        <f t="shared" si="37"/>
        <v>294</v>
      </c>
      <c r="S134" s="1365"/>
      <c r="T134" s="287">
        <f>SUM(T128)</f>
        <v>1</v>
      </c>
      <c r="U134" s="288">
        <f>SUM(U128)</f>
        <v>1</v>
      </c>
      <c r="V134" s="289"/>
      <c r="W134" s="255"/>
      <c r="X134" s="256"/>
    </row>
    <row r="135" spans="1:26" ht="13.5" hidden="1" customHeight="1" outlineLevel="1" x14ac:dyDescent="0.2">
      <c r="A135" s="1123" t="s">
        <v>17</v>
      </c>
      <c r="B135" s="1125" t="s">
        <v>17</v>
      </c>
      <c r="C135" s="1127" t="s">
        <v>292</v>
      </c>
      <c r="D135" s="1302" t="s">
        <v>273</v>
      </c>
      <c r="E135" s="1363" t="s">
        <v>283</v>
      </c>
      <c r="F135" s="305"/>
      <c r="G135" s="1364" t="s">
        <v>293</v>
      </c>
      <c r="H135" s="306" t="s">
        <v>222</v>
      </c>
      <c r="I135" s="307">
        <f t="shared" ref="I135:I140" si="38">J135+L135</f>
        <v>12.5</v>
      </c>
      <c r="J135" s="291">
        <v>12.5</v>
      </c>
      <c r="K135" s="292">
        <v>9.1999999999999993</v>
      </c>
      <c r="L135" s="291">
        <v>0</v>
      </c>
      <c r="M135" s="308">
        <f>N135+P135</f>
        <v>13</v>
      </c>
      <c r="N135" s="293">
        <v>13</v>
      </c>
      <c r="O135" s="293">
        <v>9.6</v>
      </c>
      <c r="P135" s="297">
        <v>0</v>
      </c>
      <c r="Q135" s="309">
        <v>12.5</v>
      </c>
      <c r="R135" s="295">
        <v>12.5</v>
      </c>
      <c r="S135" s="1365" t="s">
        <v>276</v>
      </c>
      <c r="T135" s="1294">
        <v>1</v>
      </c>
      <c r="U135" s="1168">
        <v>1</v>
      </c>
      <c r="V135" s="1366"/>
      <c r="W135" s="255"/>
      <c r="X135" s="256"/>
    </row>
    <row r="136" spans="1:26" ht="12.75" hidden="1" customHeight="1" outlineLevel="1" x14ac:dyDescent="0.2">
      <c r="A136" s="1123"/>
      <c r="B136" s="1125"/>
      <c r="C136" s="1127"/>
      <c r="D136" s="1302"/>
      <c r="E136" s="1303"/>
      <c r="F136" s="290" t="s">
        <v>294</v>
      </c>
      <c r="G136" s="1364"/>
      <c r="H136" s="306" t="s">
        <v>224</v>
      </c>
      <c r="I136" s="307">
        <f t="shared" si="38"/>
        <v>44.6</v>
      </c>
      <c r="J136" s="291">
        <v>44.6</v>
      </c>
      <c r="K136" s="292">
        <v>24.6</v>
      </c>
      <c r="L136" s="291">
        <v>0</v>
      </c>
      <c r="M136" s="308">
        <f>N136+P136</f>
        <v>35.225999999999999</v>
      </c>
      <c r="N136" s="293">
        <v>35.225999999999999</v>
      </c>
      <c r="O136" s="293">
        <v>22.7</v>
      </c>
      <c r="P136" s="297">
        <v>0</v>
      </c>
      <c r="Q136" s="309">
        <v>42</v>
      </c>
      <c r="R136" s="295">
        <v>42</v>
      </c>
      <c r="S136" s="1365"/>
      <c r="T136" s="1300"/>
      <c r="U136" s="1260"/>
      <c r="V136" s="1367"/>
      <c r="W136" s="264"/>
      <c r="X136" s="264"/>
      <c r="Y136" s="264"/>
      <c r="Z136" s="264"/>
    </row>
    <row r="137" spans="1:26" ht="12.75" hidden="1" customHeight="1" outlineLevel="1" x14ac:dyDescent="0.2">
      <c r="A137" s="1123"/>
      <c r="B137" s="1125"/>
      <c r="C137" s="1127"/>
      <c r="D137" s="1302"/>
      <c r="E137" s="1303"/>
      <c r="F137" s="290" t="s">
        <v>295</v>
      </c>
      <c r="G137" s="1364"/>
      <c r="H137" s="306" t="s">
        <v>225</v>
      </c>
      <c r="I137" s="307">
        <f t="shared" si="38"/>
        <v>2.5</v>
      </c>
      <c r="J137" s="291">
        <v>2.5</v>
      </c>
      <c r="K137" s="292">
        <v>0</v>
      </c>
      <c r="L137" s="291">
        <v>0</v>
      </c>
      <c r="M137" s="308">
        <f>N137</f>
        <v>1.5960000000000001</v>
      </c>
      <c r="N137" s="293">
        <v>1.5960000000000001</v>
      </c>
      <c r="O137" s="293">
        <v>0</v>
      </c>
      <c r="P137" s="297">
        <v>0</v>
      </c>
      <c r="Q137" s="309">
        <v>2.5</v>
      </c>
      <c r="R137" s="295">
        <v>2.5</v>
      </c>
      <c r="S137" s="1365"/>
      <c r="T137" s="1300"/>
      <c r="U137" s="1260"/>
      <c r="V137" s="1367"/>
      <c r="W137" s="264"/>
      <c r="X137" s="264"/>
      <c r="Y137" s="264"/>
      <c r="Z137" s="264"/>
    </row>
    <row r="138" spans="1:26" ht="12.75" hidden="1" customHeight="1" outlineLevel="1" x14ac:dyDescent="0.2">
      <c r="A138" s="1123"/>
      <c r="B138" s="1125"/>
      <c r="C138" s="1127"/>
      <c r="D138" s="1302"/>
      <c r="E138" s="1303"/>
      <c r="F138" s="290"/>
      <c r="G138" s="1364"/>
      <c r="H138" s="306" t="s">
        <v>226</v>
      </c>
      <c r="I138" s="307">
        <f t="shared" si="38"/>
        <v>0</v>
      </c>
      <c r="J138" s="291">
        <v>0</v>
      </c>
      <c r="K138" s="292">
        <v>0</v>
      </c>
      <c r="L138" s="291">
        <v>0</v>
      </c>
      <c r="M138" s="308">
        <f>N138+P138</f>
        <v>0</v>
      </c>
      <c r="N138" s="293">
        <v>0</v>
      </c>
      <c r="O138" s="293">
        <v>0</v>
      </c>
      <c r="P138" s="297">
        <v>0</v>
      </c>
      <c r="Q138" s="309">
        <v>0</v>
      </c>
      <c r="R138" s="295">
        <v>0</v>
      </c>
      <c r="S138" s="1365"/>
      <c r="T138" s="1300"/>
      <c r="U138" s="1260"/>
      <c r="V138" s="1367"/>
      <c r="W138" s="255"/>
      <c r="X138" s="256"/>
    </row>
    <row r="139" spans="1:26" ht="12.75" hidden="1" customHeight="1" outlineLevel="1" x14ac:dyDescent="0.2">
      <c r="A139" s="1123"/>
      <c r="B139" s="1125"/>
      <c r="C139" s="1127"/>
      <c r="D139" s="1302"/>
      <c r="E139" s="1303"/>
      <c r="F139" s="246" t="s">
        <v>227</v>
      </c>
      <c r="G139" s="1364"/>
      <c r="H139" s="306" t="s">
        <v>73</v>
      </c>
      <c r="I139" s="307">
        <f t="shared" si="38"/>
        <v>0</v>
      </c>
      <c r="J139" s="291">
        <v>0</v>
      </c>
      <c r="K139" s="292">
        <v>0</v>
      </c>
      <c r="L139" s="291">
        <v>0</v>
      </c>
      <c r="M139" s="308">
        <f>N139+P139</f>
        <v>0.4</v>
      </c>
      <c r="N139" s="293">
        <v>0.4</v>
      </c>
      <c r="O139" s="293">
        <v>0.3</v>
      </c>
      <c r="P139" s="297">
        <v>0</v>
      </c>
      <c r="Q139" s="309">
        <v>0</v>
      </c>
      <c r="R139" s="295">
        <v>0</v>
      </c>
      <c r="S139" s="1365"/>
      <c r="T139" s="1300"/>
      <c r="U139" s="1260"/>
      <c r="V139" s="1367"/>
      <c r="W139" s="255"/>
      <c r="X139" s="256"/>
    </row>
    <row r="140" spans="1:26" ht="12.75" hidden="1" customHeight="1" outlineLevel="1" x14ac:dyDescent="0.2">
      <c r="A140" s="1123"/>
      <c r="B140" s="1125"/>
      <c r="C140" s="1127"/>
      <c r="D140" s="1302"/>
      <c r="E140" s="1303"/>
      <c r="F140" s="246"/>
      <c r="G140" s="1364"/>
      <c r="H140" s="306" t="s">
        <v>73</v>
      </c>
      <c r="I140" s="307">
        <f t="shared" si="38"/>
        <v>0</v>
      </c>
      <c r="J140" s="291">
        <v>0</v>
      </c>
      <c r="K140" s="292">
        <v>0</v>
      </c>
      <c r="L140" s="291">
        <v>0</v>
      </c>
      <c r="M140" s="308">
        <f>N140+P140</f>
        <v>0.7</v>
      </c>
      <c r="N140" s="293">
        <v>0.7</v>
      </c>
      <c r="O140" s="293">
        <v>0.6</v>
      </c>
      <c r="P140" s="297">
        <v>0</v>
      </c>
      <c r="Q140" s="309">
        <v>0</v>
      </c>
      <c r="R140" s="295">
        <v>0</v>
      </c>
      <c r="S140" s="1365"/>
      <c r="T140" s="1295"/>
      <c r="U140" s="1169"/>
      <c r="V140" s="1368"/>
      <c r="W140" s="255"/>
      <c r="X140" s="256"/>
    </row>
    <row r="141" spans="1:26" ht="15.75" hidden="1" customHeight="1" outlineLevel="1" x14ac:dyDescent="0.2">
      <c r="A141" s="1123"/>
      <c r="B141" s="1125"/>
      <c r="C141" s="1127"/>
      <c r="D141" s="1302"/>
      <c r="E141" s="1304"/>
      <c r="F141" s="299"/>
      <c r="G141" s="1364"/>
      <c r="H141" s="279" t="s">
        <v>13</v>
      </c>
      <c r="I141" s="312">
        <f t="shared" ref="I141:P141" si="39">SUM(I135:I140)</f>
        <v>59.6</v>
      </c>
      <c r="J141" s="313">
        <f t="shared" si="39"/>
        <v>59.6</v>
      </c>
      <c r="K141" s="288">
        <f t="shared" si="39"/>
        <v>33.799999999999997</v>
      </c>
      <c r="L141" s="313">
        <f t="shared" si="39"/>
        <v>0</v>
      </c>
      <c r="M141" s="314">
        <f t="shared" si="39"/>
        <v>50.922000000000004</v>
      </c>
      <c r="N141" s="315">
        <f t="shared" si="39"/>
        <v>50.922000000000004</v>
      </c>
      <c r="O141" s="315">
        <f t="shared" si="39"/>
        <v>33.199999999999996</v>
      </c>
      <c r="P141" s="316">
        <f t="shared" si="39"/>
        <v>0</v>
      </c>
      <c r="Q141" s="317">
        <f>SUM(Q135:Q139)</f>
        <v>57</v>
      </c>
      <c r="R141" s="318">
        <f>SUM(R135:R139)</f>
        <v>57</v>
      </c>
      <c r="S141" s="1365"/>
      <c r="T141" s="287">
        <f>SUM(T135)</f>
        <v>1</v>
      </c>
      <c r="U141" s="288">
        <f>SUM(U135)</f>
        <v>1</v>
      </c>
      <c r="V141" s="289"/>
      <c r="W141" s="255"/>
      <c r="X141" s="256"/>
    </row>
    <row r="142" spans="1:26" ht="13.5" hidden="1" customHeight="1" outlineLevel="1" x14ac:dyDescent="0.2">
      <c r="A142" s="1123" t="s">
        <v>17</v>
      </c>
      <c r="B142" s="1125" t="s">
        <v>17</v>
      </c>
      <c r="C142" s="1127" t="s">
        <v>296</v>
      </c>
      <c r="D142" s="1302" t="s">
        <v>273</v>
      </c>
      <c r="E142" s="1363" t="s">
        <v>283</v>
      </c>
      <c r="F142" s="320"/>
      <c r="G142" s="1364" t="s">
        <v>297</v>
      </c>
      <c r="H142" s="306" t="s">
        <v>222</v>
      </c>
      <c r="I142" s="307">
        <f t="shared" ref="I142:I147" si="40">J142+L142</f>
        <v>44.9</v>
      </c>
      <c r="J142" s="291">
        <v>44.9</v>
      </c>
      <c r="K142" s="292">
        <v>32.9</v>
      </c>
      <c r="L142" s="291">
        <v>0</v>
      </c>
      <c r="M142" s="308">
        <f t="shared" ref="M142:M147" si="41">N142+P142</f>
        <v>46.9</v>
      </c>
      <c r="N142" s="293">
        <v>46.9</v>
      </c>
      <c r="O142" s="293">
        <v>34.5</v>
      </c>
      <c r="P142" s="297">
        <v>0</v>
      </c>
      <c r="Q142" s="309">
        <v>49.4</v>
      </c>
      <c r="R142" s="295">
        <v>54.4</v>
      </c>
      <c r="S142" s="1365" t="s">
        <v>276</v>
      </c>
      <c r="T142" s="1294">
        <v>1</v>
      </c>
      <c r="U142" s="1168">
        <v>1</v>
      </c>
      <c r="V142" s="1366"/>
      <c r="W142" s="255"/>
      <c r="X142" s="256"/>
    </row>
    <row r="143" spans="1:26" ht="12.75" hidden="1" customHeight="1" outlineLevel="1" x14ac:dyDescent="0.2">
      <c r="A143" s="1123"/>
      <c r="B143" s="1125"/>
      <c r="C143" s="1127"/>
      <c r="D143" s="1302"/>
      <c r="E143" s="1303"/>
      <c r="F143" s="290" t="s">
        <v>244</v>
      </c>
      <c r="G143" s="1364"/>
      <c r="H143" s="306" t="s">
        <v>224</v>
      </c>
      <c r="I143" s="307">
        <f t="shared" si="40"/>
        <v>68.7</v>
      </c>
      <c r="J143" s="291">
        <v>68.7</v>
      </c>
      <c r="K143" s="292">
        <v>41.5</v>
      </c>
      <c r="L143" s="291">
        <v>0</v>
      </c>
      <c r="M143" s="308">
        <f t="shared" si="41"/>
        <v>71.900000000000006</v>
      </c>
      <c r="N143" s="293">
        <v>71.900000000000006</v>
      </c>
      <c r="O143" s="293">
        <v>46.1</v>
      </c>
      <c r="P143" s="297">
        <v>0</v>
      </c>
      <c r="Q143" s="309">
        <v>75.599999999999994</v>
      </c>
      <c r="R143" s="295">
        <v>83.2</v>
      </c>
      <c r="S143" s="1365"/>
      <c r="T143" s="1300"/>
      <c r="U143" s="1260"/>
      <c r="V143" s="1367"/>
      <c r="W143" s="264"/>
      <c r="X143" s="264"/>
      <c r="Y143" s="264"/>
      <c r="Z143" s="264"/>
    </row>
    <row r="144" spans="1:26" ht="12.75" hidden="1" customHeight="1" outlineLevel="1" x14ac:dyDescent="0.2">
      <c r="A144" s="1123"/>
      <c r="B144" s="1125"/>
      <c r="C144" s="1127"/>
      <c r="D144" s="1302"/>
      <c r="E144" s="1303"/>
      <c r="F144" s="290" t="s">
        <v>295</v>
      </c>
      <c r="G144" s="1364"/>
      <c r="H144" s="306" t="s">
        <v>225</v>
      </c>
      <c r="I144" s="307">
        <f t="shared" si="40"/>
        <v>9.4</v>
      </c>
      <c r="J144" s="291">
        <v>9.4</v>
      </c>
      <c r="K144" s="292">
        <v>0</v>
      </c>
      <c r="L144" s="291">
        <v>0</v>
      </c>
      <c r="M144" s="308">
        <f t="shared" si="41"/>
        <v>10.4</v>
      </c>
      <c r="N144" s="293">
        <v>10.4</v>
      </c>
      <c r="O144" s="293">
        <v>0</v>
      </c>
      <c r="P144" s="297">
        <v>0</v>
      </c>
      <c r="Q144" s="309">
        <v>10.199999999999999</v>
      </c>
      <c r="R144" s="295">
        <v>10.199999999999999</v>
      </c>
      <c r="S144" s="1365"/>
      <c r="T144" s="1300"/>
      <c r="U144" s="1260"/>
      <c r="V144" s="1367"/>
      <c r="W144" s="264"/>
      <c r="X144" s="264"/>
      <c r="Y144" s="264"/>
      <c r="Z144" s="264"/>
    </row>
    <row r="145" spans="1:26" ht="12.75" hidden="1" customHeight="1" outlineLevel="1" x14ac:dyDescent="0.2">
      <c r="A145" s="1123"/>
      <c r="B145" s="1125"/>
      <c r="C145" s="1127"/>
      <c r="D145" s="1302"/>
      <c r="E145" s="1303"/>
      <c r="F145" s="290"/>
      <c r="G145" s="1364"/>
      <c r="H145" s="306" t="s">
        <v>226</v>
      </c>
      <c r="I145" s="307">
        <f t="shared" si="40"/>
        <v>0</v>
      </c>
      <c r="J145" s="291">
        <v>0</v>
      </c>
      <c r="K145" s="292">
        <v>0</v>
      </c>
      <c r="L145" s="291">
        <v>0</v>
      </c>
      <c r="M145" s="308">
        <f t="shared" si="41"/>
        <v>0</v>
      </c>
      <c r="N145" s="293">
        <v>0</v>
      </c>
      <c r="O145" s="293">
        <v>0</v>
      </c>
      <c r="P145" s="297">
        <v>0</v>
      </c>
      <c r="Q145" s="309">
        <v>0</v>
      </c>
      <c r="R145" s="295">
        <v>0</v>
      </c>
      <c r="S145" s="1365"/>
      <c r="T145" s="1300"/>
      <c r="U145" s="1260"/>
      <c r="V145" s="1367"/>
      <c r="W145" s="255"/>
      <c r="X145" s="256"/>
    </row>
    <row r="146" spans="1:26" ht="12.75" hidden="1" customHeight="1" outlineLevel="1" x14ac:dyDescent="0.2">
      <c r="A146" s="1123"/>
      <c r="B146" s="1125"/>
      <c r="C146" s="1127"/>
      <c r="D146" s="1302"/>
      <c r="E146" s="1303"/>
      <c r="F146" s="246" t="s">
        <v>227</v>
      </c>
      <c r="G146" s="1364"/>
      <c r="H146" s="306" t="s">
        <v>73</v>
      </c>
      <c r="I146" s="307">
        <f t="shared" si="40"/>
        <v>0</v>
      </c>
      <c r="J146" s="291">
        <v>0</v>
      </c>
      <c r="K146" s="292">
        <v>0</v>
      </c>
      <c r="L146" s="291">
        <v>0</v>
      </c>
      <c r="M146" s="308">
        <f t="shared" si="41"/>
        <v>1.3</v>
      </c>
      <c r="N146" s="293">
        <v>1.3</v>
      </c>
      <c r="O146" s="293">
        <v>1</v>
      </c>
      <c r="P146" s="297">
        <v>0</v>
      </c>
      <c r="Q146" s="309">
        <v>0</v>
      </c>
      <c r="R146" s="295">
        <v>0</v>
      </c>
      <c r="S146" s="1365"/>
      <c r="T146" s="1300"/>
      <c r="U146" s="1260"/>
      <c r="V146" s="1367"/>
      <c r="W146" s="255"/>
      <c r="X146" s="256"/>
    </row>
    <row r="147" spans="1:26" ht="12.75" hidden="1" customHeight="1" outlineLevel="1" x14ac:dyDescent="0.2">
      <c r="A147" s="1123"/>
      <c r="B147" s="1125"/>
      <c r="C147" s="1127"/>
      <c r="D147" s="1302"/>
      <c r="E147" s="1303"/>
      <c r="F147" s="246"/>
      <c r="G147" s="1364"/>
      <c r="H147" s="306" t="s">
        <v>73</v>
      </c>
      <c r="I147" s="307">
        <f t="shared" si="40"/>
        <v>0</v>
      </c>
      <c r="J147" s="291">
        <v>0</v>
      </c>
      <c r="K147" s="292">
        <v>0</v>
      </c>
      <c r="L147" s="291">
        <v>0</v>
      </c>
      <c r="M147" s="308">
        <f t="shared" si="41"/>
        <v>1.3</v>
      </c>
      <c r="N147" s="293">
        <v>1.3</v>
      </c>
      <c r="O147" s="293">
        <v>1</v>
      </c>
      <c r="P147" s="297">
        <v>0</v>
      </c>
      <c r="Q147" s="309">
        <v>0</v>
      </c>
      <c r="R147" s="295">
        <v>0</v>
      </c>
      <c r="S147" s="1365"/>
      <c r="T147" s="1295"/>
      <c r="U147" s="1169"/>
      <c r="V147" s="1368"/>
      <c r="W147" s="255"/>
      <c r="X147" s="256"/>
    </row>
    <row r="148" spans="1:26" ht="17.25" hidden="1" customHeight="1" outlineLevel="1" x14ac:dyDescent="0.2">
      <c r="A148" s="1123"/>
      <c r="B148" s="1125"/>
      <c r="C148" s="1127"/>
      <c r="D148" s="1302"/>
      <c r="E148" s="1304"/>
      <c r="F148" s="299"/>
      <c r="G148" s="1364"/>
      <c r="H148" s="279" t="s">
        <v>13</v>
      </c>
      <c r="I148" s="312">
        <f t="shared" ref="I148:R148" si="42">SUM(I142:I147)</f>
        <v>123</v>
      </c>
      <c r="J148" s="313">
        <f t="shared" si="42"/>
        <v>123</v>
      </c>
      <c r="K148" s="288">
        <f t="shared" si="42"/>
        <v>74.400000000000006</v>
      </c>
      <c r="L148" s="313">
        <f t="shared" si="42"/>
        <v>0</v>
      </c>
      <c r="M148" s="314">
        <f t="shared" si="42"/>
        <v>131.80000000000004</v>
      </c>
      <c r="N148" s="315">
        <f t="shared" si="42"/>
        <v>131.80000000000004</v>
      </c>
      <c r="O148" s="315">
        <f t="shared" si="42"/>
        <v>82.6</v>
      </c>
      <c r="P148" s="316">
        <f t="shared" si="42"/>
        <v>0</v>
      </c>
      <c r="Q148" s="317">
        <f t="shared" si="42"/>
        <v>135.19999999999999</v>
      </c>
      <c r="R148" s="318">
        <f t="shared" si="42"/>
        <v>147.79999999999998</v>
      </c>
      <c r="S148" s="1365"/>
      <c r="T148" s="287">
        <f>SUM(T142)</f>
        <v>1</v>
      </c>
      <c r="U148" s="288">
        <f>SUM(U142)</f>
        <v>1</v>
      </c>
      <c r="V148" s="289"/>
      <c r="W148" s="255"/>
      <c r="X148" s="256"/>
    </row>
    <row r="149" spans="1:26" ht="13.5" hidden="1" customHeight="1" outlineLevel="1" x14ac:dyDescent="0.2">
      <c r="A149" s="1123" t="s">
        <v>17</v>
      </c>
      <c r="B149" s="1125" t="s">
        <v>17</v>
      </c>
      <c r="C149" s="1127" t="s">
        <v>298</v>
      </c>
      <c r="D149" s="1302" t="s">
        <v>273</v>
      </c>
      <c r="E149" s="1363" t="s">
        <v>283</v>
      </c>
      <c r="F149" s="320"/>
      <c r="G149" s="1364" t="s">
        <v>299</v>
      </c>
      <c r="H149" s="306" t="s">
        <v>222</v>
      </c>
      <c r="I149" s="307">
        <f t="shared" ref="I149:I154" si="43">J149+L149</f>
        <v>54.8</v>
      </c>
      <c r="J149" s="291">
        <v>54.8</v>
      </c>
      <c r="K149" s="292">
        <v>40.200000000000003</v>
      </c>
      <c r="L149" s="291">
        <v>0</v>
      </c>
      <c r="M149" s="308">
        <f t="shared" ref="M149:M154" si="44">N149+P149</f>
        <v>57.3</v>
      </c>
      <c r="N149" s="293">
        <v>57.3</v>
      </c>
      <c r="O149" s="293">
        <v>42.1</v>
      </c>
      <c r="P149" s="297">
        <v>0</v>
      </c>
      <c r="Q149" s="309">
        <v>57.5</v>
      </c>
      <c r="R149" s="295">
        <v>60</v>
      </c>
      <c r="S149" s="1365" t="s">
        <v>276</v>
      </c>
      <c r="T149" s="1294">
        <v>1</v>
      </c>
      <c r="U149" s="1168">
        <v>1</v>
      </c>
      <c r="V149" s="1366"/>
      <c r="W149" s="255"/>
      <c r="X149" s="256"/>
    </row>
    <row r="150" spans="1:26" ht="12.75" hidden="1" customHeight="1" outlineLevel="1" x14ac:dyDescent="0.2">
      <c r="A150" s="1123"/>
      <c r="B150" s="1125"/>
      <c r="C150" s="1127"/>
      <c r="D150" s="1302"/>
      <c r="E150" s="1303"/>
      <c r="F150" s="290" t="s">
        <v>247</v>
      </c>
      <c r="G150" s="1364"/>
      <c r="H150" s="306" t="s">
        <v>224</v>
      </c>
      <c r="I150" s="307">
        <f t="shared" si="43"/>
        <v>156.4</v>
      </c>
      <c r="J150" s="291">
        <v>150.4</v>
      </c>
      <c r="K150" s="292">
        <v>96.4</v>
      </c>
      <c r="L150" s="291">
        <v>6</v>
      </c>
      <c r="M150" s="308">
        <f t="shared" si="44"/>
        <v>151.9</v>
      </c>
      <c r="N150" s="293">
        <v>151.9</v>
      </c>
      <c r="O150" s="293">
        <v>100.1</v>
      </c>
      <c r="P150" s="297">
        <v>0</v>
      </c>
      <c r="Q150" s="309">
        <v>140</v>
      </c>
      <c r="R150" s="295">
        <v>145</v>
      </c>
      <c r="S150" s="1365"/>
      <c r="T150" s="1300"/>
      <c r="U150" s="1260"/>
      <c r="V150" s="1367"/>
      <c r="W150" s="264"/>
      <c r="X150" s="264"/>
      <c r="Y150" s="264"/>
      <c r="Z150" s="264"/>
    </row>
    <row r="151" spans="1:26" ht="12.75" hidden="1" customHeight="1" outlineLevel="1" x14ac:dyDescent="0.2">
      <c r="A151" s="1123"/>
      <c r="B151" s="1125"/>
      <c r="C151" s="1127"/>
      <c r="D151" s="1302"/>
      <c r="E151" s="1303"/>
      <c r="F151" s="290" t="s">
        <v>272</v>
      </c>
      <c r="G151" s="1364"/>
      <c r="H151" s="306" t="s">
        <v>225</v>
      </c>
      <c r="I151" s="307">
        <f t="shared" si="43"/>
        <v>10</v>
      </c>
      <c r="J151" s="291">
        <v>10</v>
      </c>
      <c r="K151" s="292">
        <v>0</v>
      </c>
      <c r="L151" s="291">
        <v>0</v>
      </c>
      <c r="M151" s="308">
        <f t="shared" si="44"/>
        <v>11</v>
      </c>
      <c r="N151" s="293">
        <v>11</v>
      </c>
      <c r="O151" s="293">
        <v>0</v>
      </c>
      <c r="P151" s="297">
        <v>0</v>
      </c>
      <c r="Q151" s="309">
        <v>11</v>
      </c>
      <c r="R151" s="295">
        <v>11.5</v>
      </c>
      <c r="S151" s="1365"/>
      <c r="T151" s="1300"/>
      <c r="U151" s="1260"/>
      <c r="V151" s="1367"/>
      <c r="W151" s="264"/>
      <c r="X151" s="264"/>
      <c r="Y151" s="264"/>
      <c r="Z151" s="264"/>
    </row>
    <row r="152" spans="1:26" ht="12.75" hidden="1" customHeight="1" outlineLevel="1" x14ac:dyDescent="0.2">
      <c r="A152" s="1123"/>
      <c r="B152" s="1125"/>
      <c r="C152" s="1127"/>
      <c r="D152" s="1302"/>
      <c r="E152" s="1303"/>
      <c r="F152" s="290"/>
      <c r="G152" s="1364"/>
      <c r="H152" s="306" t="s">
        <v>226</v>
      </c>
      <c r="I152" s="307">
        <f t="shared" si="43"/>
        <v>0</v>
      </c>
      <c r="J152" s="291">
        <v>0</v>
      </c>
      <c r="K152" s="292">
        <v>0</v>
      </c>
      <c r="L152" s="291">
        <v>0</v>
      </c>
      <c r="M152" s="308">
        <f t="shared" si="44"/>
        <v>0</v>
      </c>
      <c r="N152" s="293">
        <v>0</v>
      </c>
      <c r="O152" s="293">
        <v>0</v>
      </c>
      <c r="P152" s="297">
        <v>0</v>
      </c>
      <c r="Q152" s="309">
        <v>0</v>
      </c>
      <c r="R152" s="295">
        <v>0</v>
      </c>
      <c r="S152" s="1365"/>
      <c r="T152" s="1300"/>
      <c r="U152" s="1260"/>
      <c r="V152" s="1367"/>
      <c r="W152" s="255"/>
      <c r="X152" s="256"/>
    </row>
    <row r="153" spans="1:26" ht="12.75" hidden="1" customHeight="1" outlineLevel="1" x14ac:dyDescent="0.2">
      <c r="A153" s="1123"/>
      <c r="B153" s="1125"/>
      <c r="C153" s="1127"/>
      <c r="D153" s="1302"/>
      <c r="E153" s="1303"/>
      <c r="F153" s="246" t="s">
        <v>227</v>
      </c>
      <c r="G153" s="1364"/>
      <c r="H153" s="306" t="s">
        <v>73</v>
      </c>
      <c r="I153" s="307">
        <f t="shared" si="43"/>
        <v>0</v>
      </c>
      <c r="J153" s="291">
        <v>0</v>
      </c>
      <c r="K153" s="292">
        <v>0</v>
      </c>
      <c r="L153" s="291">
        <v>0</v>
      </c>
      <c r="M153" s="308">
        <f t="shared" si="44"/>
        <v>1.9</v>
      </c>
      <c r="N153" s="293">
        <v>1.9</v>
      </c>
      <c r="O153" s="293">
        <v>1.5</v>
      </c>
      <c r="P153" s="297">
        <v>0</v>
      </c>
      <c r="Q153" s="309">
        <v>0</v>
      </c>
      <c r="R153" s="295">
        <v>0</v>
      </c>
      <c r="S153" s="1365"/>
      <c r="T153" s="1300"/>
      <c r="U153" s="1260"/>
      <c r="V153" s="1367"/>
      <c r="W153" s="255"/>
      <c r="X153" s="256"/>
    </row>
    <row r="154" spans="1:26" ht="12.75" hidden="1" customHeight="1" outlineLevel="1" x14ac:dyDescent="0.2">
      <c r="A154" s="1123"/>
      <c r="B154" s="1125"/>
      <c r="C154" s="1127"/>
      <c r="D154" s="1302"/>
      <c r="E154" s="1303"/>
      <c r="F154" s="246"/>
      <c r="G154" s="1364"/>
      <c r="H154" s="306" t="s">
        <v>73</v>
      </c>
      <c r="I154" s="307">
        <f t="shared" si="43"/>
        <v>0</v>
      </c>
      <c r="J154" s="291">
        <v>0</v>
      </c>
      <c r="K154" s="292">
        <v>0</v>
      </c>
      <c r="L154" s="291">
        <v>0</v>
      </c>
      <c r="M154" s="308">
        <f t="shared" si="44"/>
        <v>3.1</v>
      </c>
      <c r="N154" s="293">
        <v>3.1</v>
      </c>
      <c r="O154" s="293">
        <v>2.2999999999999998</v>
      </c>
      <c r="P154" s="297">
        <v>0</v>
      </c>
      <c r="Q154" s="309">
        <v>0</v>
      </c>
      <c r="R154" s="295">
        <v>0</v>
      </c>
      <c r="S154" s="1365"/>
      <c r="T154" s="1295"/>
      <c r="U154" s="1169"/>
      <c r="V154" s="1368"/>
      <c r="W154" s="255"/>
      <c r="X154" s="256"/>
    </row>
    <row r="155" spans="1:26" ht="17.25" hidden="1" customHeight="1" outlineLevel="1" x14ac:dyDescent="0.2">
      <c r="A155" s="1123"/>
      <c r="B155" s="1125"/>
      <c r="C155" s="1127"/>
      <c r="D155" s="1302"/>
      <c r="E155" s="1304"/>
      <c r="F155" s="299"/>
      <c r="G155" s="1364"/>
      <c r="H155" s="279" t="s">
        <v>13</v>
      </c>
      <c r="I155" s="312">
        <f t="shared" ref="I155:R155" si="45">SUM(I149:I154)</f>
        <v>221.2</v>
      </c>
      <c r="J155" s="313">
        <f t="shared" si="45"/>
        <v>215.2</v>
      </c>
      <c r="K155" s="288">
        <f t="shared" si="45"/>
        <v>136.60000000000002</v>
      </c>
      <c r="L155" s="313">
        <f t="shared" si="45"/>
        <v>6</v>
      </c>
      <c r="M155" s="314">
        <f t="shared" si="45"/>
        <v>225.2</v>
      </c>
      <c r="N155" s="315">
        <f t="shared" si="45"/>
        <v>225.2</v>
      </c>
      <c r="O155" s="315">
        <f t="shared" si="45"/>
        <v>146</v>
      </c>
      <c r="P155" s="316">
        <f t="shared" si="45"/>
        <v>0</v>
      </c>
      <c r="Q155" s="317">
        <f t="shared" si="45"/>
        <v>208.5</v>
      </c>
      <c r="R155" s="318">
        <f t="shared" si="45"/>
        <v>216.5</v>
      </c>
      <c r="S155" s="1365"/>
      <c r="T155" s="287">
        <f>SUM(T149)</f>
        <v>1</v>
      </c>
      <c r="U155" s="288">
        <f>SUM(U149)</f>
        <v>1</v>
      </c>
      <c r="V155" s="289"/>
      <c r="W155" s="255"/>
      <c r="X155" s="256"/>
    </row>
    <row r="156" spans="1:26" ht="13.5" hidden="1" customHeight="1" outlineLevel="1" x14ac:dyDescent="0.2">
      <c r="A156" s="1123" t="s">
        <v>17</v>
      </c>
      <c r="B156" s="1125" t="s">
        <v>17</v>
      </c>
      <c r="C156" s="1127" t="s">
        <v>300</v>
      </c>
      <c r="D156" s="1302" t="s">
        <v>273</v>
      </c>
      <c r="E156" s="1363" t="s">
        <v>283</v>
      </c>
      <c r="F156" s="320"/>
      <c r="G156" s="1364" t="s">
        <v>301</v>
      </c>
      <c r="H156" s="306" t="s">
        <v>222</v>
      </c>
      <c r="I156" s="307">
        <f t="shared" ref="I156:I161" si="46">J156+L156</f>
        <v>19.5</v>
      </c>
      <c r="J156" s="291">
        <v>19.5</v>
      </c>
      <c r="K156" s="292">
        <v>14.3</v>
      </c>
      <c r="L156" s="291">
        <v>0</v>
      </c>
      <c r="M156" s="308">
        <f>N156+P156</f>
        <v>20.399999999999999</v>
      </c>
      <c r="N156" s="293">
        <v>20.399999999999999</v>
      </c>
      <c r="O156" s="293">
        <v>15</v>
      </c>
      <c r="P156" s="297">
        <v>0</v>
      </c>
      <c r="Q156" s="309">
        <v>21</v>
      </c>
      <c r="R156" s="295">
        <v>22</v>
      </c>
      <c r="S156" s="1365" t="s">
        <v>276</v>
      </c>
      <c r="T156" s="1294">
        <v>1</v>
      </c>
      <c r="U156" s="1168">
        <v>1</v>
      </c>
      <c r="V156" s="1366"/>
      <c r="W156" s="255"/>
      <c r="X156" s="256"/>
    </row>
    <row r="157" spans="1:26" ht="12.75" hidden="1" customHeight="1" outlineLevel="1" x14ac:dyDescent="0.2">
      <c r="A157" s="1123"/>
      <c r="B157" s="1125"/>
      <c r="C157" s="1127"/>
      <c r="D157" s="1302"/>
      <c r="E157" s="1303"/>
      <c r="F157" s="290" t="s">
        <v>302</v>
      </c>
      <c r="G157" s="1364"/>
      <c r="H157" s="306" t="s">
        <v>224</v>
      </c>
      <c r="I157" s="307">
        <f t="shared" si="46"/>
        <v>56.7</v>
      </c>
      <c r="J157" s="291">
        <v>56.7</v>
      </c>
      <c r="K157" s="292">
        <v>33.6</v>
      </c>
      <c r="L157" s="291">
        <v>0</v>
      </c>
      <c r="M157" s="308">
        <f>N157+P157</f>
        <v>46.3</v>
      </c>
      <c r="N157" s="293">
        <v>46.3</v>
      </c>
      <c r="O157" s="293">
        <v>31.7</v>
      </c>
      <c r="P157" s="297">
        <v>0</v>
      </c>
      <c r="Q157" s="309">
        <v>61</v>
      </c>
      <c r="R157" s="295">
        <v>63</v>
      </c>
      <c r="S157" s="1365"/>
      <c r="T157" s="1300"/>
      <c r="U157" s="1260"/>
      <c r="V157" s="1367"/>
      <c r="W157" s="264"/>
      <c r="X157" s="264"/>
      <c r="Y157" s="264"/>
      <c r="Z157" s="264"/>
    </row>
    <row r="158" spans="1:26" ht="12.75" hidden="1" customHeight="1" outlineLevel="1" x14ac:dyDescent="0.2">
      <c r="A158" s="1123"/>
      <c r="B158" s="1125"/>
      <c r="C158" s="1127"/>
      <c r="D158" s="1302"/>
      <c r="E158" s="1303"/>
      <c r="F158" s="290" t="s">
        <v>295</v>
      </c>
      <c r="G158" s="1364"/>
      <c r="H158" s="306" t="s">
        <v>225</v>
      </c>
      <c r="I158" s="307">
        <f t="shared" si="46"/>
        <v>4.5</v>
      </c>
      <c r="J158" s="291">
        <v>4.5</v>
      </c>
      <c r="K158" s="292">
        <v>0</v>
      </c>
      <c r="L158" s="291">
        <v>0</v>
      </c>
      <c r="M158" s="308">
        <f>N158</f>
        <v>4</v>
      </c>
      <c r="N158" s="293">
        <v>4</v>
      </c>
      <c r="O158" s="293">
        <v>0</v>
      </c>
      <c r="P158" s="297">
        <v>0</v>
      </c>
      <c r="Q158" s="309">
        <v>5</v>
      </c>
      <c r="R158" s="295">
        <v>5.5</v>
      </c>
      <c r="S158" s="1365"/>
      <c r="T158" s="1300"/>
      <c r="U158" s="1260"/>
      <c r="V158" s="1367"/>
      <c r="W158" s="264"/>
      <c r="X158" s="264"/>
      <c r="Y158" s="264"/>
      <c r="Z158" s="264"/>
    </row>
    <row r="159" spans="1:26" ht="12.75" hidden="1" customHeight="1" outlineLevel="1" x14ac:dyDescent="0.2">
      <c r="A159" s="1123"/>
      <c r="B159" s="1125"/>
      <c r="C159" s="1127"/>
      <c r="D159" s="1302"/>
      <c r="E159" s="1303"/>
      <c r="F159" s="290"/>
      <c r="G159" s="1364"/>
      <c r="H159" s="306" t="s">
        <v>226</v>
      </c>
      <c r="I159" s="307">
        <f t="shared" si="46"/>
        <v>0</v>
      </c>
      <c r="J159" s="291">
        <v>0</v>
      </c>
      <c r="K159" s="292">
        <v>0</v>
      </c>
      <c r="L159" s="291">
        <v>0</v>
      </c>
      <c r="M159" s="308">
        <f>N159+P159</f>
        <v>0</v>
      </c>
      <c r="N159" s="293">
        <v>0</v>
      </c>
      <c r="O159" s="293">
        <v>0</v>
      </c>
      <c r="P159" s="297">
        <v>0</v>
      </c>
      <c r="Q159" s="309">
        <v>0</v>
      </c>
      <c r="R159" s="295">
        <v>0</v>
      </c>
      <c r="S159" s="1365"/>
      <c r="T159" s="1300"/>
      <c r="U159" s="1260"/>
      <c r="V159" s="1367"/>
      <c r="W159" s="255"/>
      <c r="X159" s="256"/>
    </row>
    <row r="160" spans="1:26" ht="12.75" hidden="1" customHeight="1" outlineLevel="1" x14ac:dyDescent="0.2">
      <c r="A160" s="1123"/>
      <c r="B160" s="1125"/>
      <c r="C160" s="1127"/>
      <c r="D160" s="1302"/>
      <c r="E160" s="1303"/>
      <c r="F160" s="246" t="s">
        <v>227</v>
      </c>
      <c r="G160" s="1364"/>
      <c r="H160" s="306" t="s">
        <v>73</v>
      </c>
      <c r="I160" s="307">
        <f t="shared" si="46"/>
        <v>0</v>
      </c>
      <c r="J160" s="291">
        <v>0</v>
      </c>
      <c r="K160" s="292">
        <v>0</v>
      </c>
      <c r="L160" s="291">
        <v>0</v>
      </c>
      <c r="M160" s="308">
        <f>N160+P160</f>
        <v>0.4</v>
      </c>
      <c r="N160" s="293">
        <v>0.4</v>
      </c>
      <c r="O160" s="293">
        <v>0.3</v>
      </c>
      <c r="P160" s="297">
        <v>0</v>
      </c>
      <c r="Q160" s="309">
        <v>0</v>
      </c>
      <c r="R160" s="295">
        <v>0</v>
      </c>
      <c r="S160" s="1365"/>
      <c r="T160" s="1300"/>
      <c r="U160" s="1260"/>
      <c r="V160" s="1367"/>
      <c r="W160" s="255"/>
      <c r="X160" s="256"/>
    </row>
    <row r="161" spans="1:24" ht="12.75" hidden="1" customHeight="1" outlineLevel="1" x14ac:dyDescent="0.2">
      <c r="A161" s="1123"/>
      <c r="B161" s="1125"/>
      <c r="C161" s="1127"/>
      <c r="D161" s="1302"/>
      <c r="E161" s="1303"/>
      <c r="F161" s="246"/>
      <c r="G161" s="1364"/>
      <c r="H161" s="306" t="s">
        <v>73</v>
      </c>
      <c r="I161" s="307">
        <f t="shared" si="46"/>
        <v>0</v>
      </c>
      <c r="J161" s="291">
        <v>0</v>
      </c>
      <c r="K161" s="292">
        <v>0</v>
      </c>
      <c r="L161" s="291">
        <v>0</v>
      </c>
      <c r="M161" s="308">
        <f>N161+P161</f>
        <v>1</v>
      </c>
      <c r="N161" s="293">
        <v>1</v>
      </c>
      <c r="O161" s="293">
        <v>0.8</v>
      </c>
      <c r="P161" s="297">
        <v>0</v>
      </c>
      <c r="Q161" s="309">
        <v>0</v>
      </c>
      <c r="R161" s="295">
        <v>0</v>
      </c>
      <c r="S161" s="1365"/>
      <c r="T161" s="1295"/>
      <c r="U161" s="1169"/>
      <c r="V161" s="1368"/>
      <c r="W161" s="255"/>
      <c r="X161" s="256"/>
    </row>
    <row r="162" spans="1:24" ht="17.25" hidden="1" customHeight="1" outlineLevel="1" x14ac:dyDescent="0.2">
      <c r="A162" s="1123"/>
      <c r="B162" s="1125"/>
      <c r="C162" s="1127"/>
      <c r="D162" s="1302"/>
      <c r="E162" s="1304"/>
      <c r="F162" s="299"/>
      <c r="G162" s="1364"/>
      <c r="H162" s="279" t="s">
        <v>13</v>
      </c>
      <c r="I162" s="312">
        <f t="shared" ref="I162:R162" si="47">SUM(I156:I161)</f>
        <v>80.7</v>
      </c>
      <c r="J162" s="313">
        <f t="shared" si="47"/>
        <v>80.7</v>
      </c>
      <c r="K162" s="288">
        <f t="shared" si="47"/>
        <v>47.900000000000006</v>
      </c>
      <c r="L162" s="313">
        <f t="shared" si="47"/>
        <v>0</v>
      </c>
      <c r="M162" s="314">
        <f t="shared" si="47"/>
        <v>72.099999999999994</v>
      </c>
      <c r="N162" s="315">
        <f t="shared" si="47"/>
        <v>72.099999999999994</v>
      </c>
      <c r="O162" s="315">
        <f t="shared" si="47"/>
        <v>47.8</v>
      </c>
      <c r="P162" s="316">
        <f t="shared" si="47"/>
        <v>0</v>
      </c>
      <c r="Q162" s="317">
        <f t="shared" si="47"/>
        <v>87</v>
      </c>
      <c r="R162" s="318">
        <f t="shared" si="47"/>
        <v>90.5</v>
      </c>
      <c r="S162" s="1365"/>
      <c r="T162" s="287">
        <f>SUM(T156)</f>
        <v>1</v>
      </c>
      <c r="U162" s="288">
        <f>SUM(U156)</f>
        <v>1</v>
      </c>
      <c r="V162" s="289"/>
      <c r="W162" s="255"/>
      <c r="X162" s="256"/>
    </row>
    <row r="163" spans="1:24" ht="13.5" hidden="1" customHeight="1" outlineLevel="1" x14ac:dyDescent="0.2">
      <c r="A163" s="1123" t="s">
        <v>17</v>
      </c>
      <c r="B163" s="1125" t="s">
        <v>17</v>
      </c>
      <c r="C163" s="1127" t="s">
        <v>300</v>
      </c>
      <c r="D163" s="1302" t="s">
        <v>273</v>
      </c>
      <c r="E163" s="1363" t="s">
        <v>283</v>
      </c>
      <c r="F163" s="321"/>
      <c r="G163" s="1364" t="s">
        <v>270</v>
      </c>
      <c r="H163" s="306" t="s">
        <v>222</v>
      </c>
      <c r="I163" s="307">
        <f>J163+L163</f>
        <v>0</v>
      </c>
      <c r="J163" s="291">
        <v>0</v>
      </c>
      <c r="K163" s="292">
        <v>0</v>
      </c>
      <c r="L163" s="291">
        <v>0</v>
      </c>
      <c r="M163" s="308">
        <f>N163+P163</f>
        <v>0</v>
      </c>
      <c r="N163" s="293"/>
      <c r="O163" s="293"/>
      <c r="P163" s="297">
        <v>0</v>
      </c>
      <c r="Q163" s="322"/>
      <c r="R163" s="323"/>
      <c r="S163" s="1365" t="s">
        <v>276</v>
      </c>
      <c r="T163" s="1369"/>
      <c r="U163" s="1372"/>
      <c r="V163" s="1366"/>
      <c r="W163" s="255"/>
      <c r="X163" s="256"/>
    </row>
    <row r="164" spans="1:24" ht="13.5" hidden="1" customHeight="1" outlineLevel="1" x14ac:dyDescent="0.2">
      <c r="A164" s="1123"/>
      <c r="B164" s="1125"/>
      <c r="C164" s="1127"/>
      <c r="D164" s="1302"/>
      <c r="E164" s="1303"/>
      <c r="F164" s="324" t="s">
        <v>271</v>
      </c>
      <c r="G164" s="1364"/>
      <c r="H164" s="306" t="s">
        <v>224</v>
      </c>
      <c r="I164" s="307">
        <f>J164+L164</f>
        <v>0</v>
      </c>
      <c r="J164" s="291">
        <v>0</v>
      </c>
      <c r="K164" s="292">
        <v>0</v>
      </c>
      <c r="L164" s="291">
        <v>0</v>
      </c>
      <c r="M164" s="308">
        <f>N164+P164</f>
        <v>0</v>
      </c>
      <c r="N164" s="293"/>
      <c r="O164" s="293"/>
      <c r="P164" s="297">
        <v>0</v>
      </c>
      <c r="Q164" s="322"/>
      <c r="R164" s="323"/>
      <c r="S164" s="1365"/>
      <c r="T164" s="1370"/>
      <c r="U164" s="1373"/>
      <c r="V164" s="1367"/>
      <c r="W164" s="255" t="s">
        <v>204</v>
      </c>
      <c r="X164" s="256"/>
    </row>
    <row r="165" spans="1:24" ht="13.5" hidden="1" customHeight="1" outlineLevel="1" x14ac:dyDescent="0.2">
      <c r="A165" s="1123"/>
      <c r="B165" s="1125"/>
      <c r="C165" s="1127"/>
      <c r="D165" s="1302"/>
      <c r="E165" s="1303"/>
      <c r="F165" s="324" t="s">
        <v>272</v>
      </c>
      <c r="G165" s="1364"/>
      <c r="H165" s="306" t="s">
        <v>225</v>
      </c>
      <c r="I165" s="307">
        <f>J165+L165</f>
        <v>0</v>
      </c>
      <c r="J165" s="291">
        <v>0</v>
      </c>
      <c r="K165" s="292">
        <v>0</v>
      </c>
      <c r="L165" s="291">
        <v>0</v>
      </c>
      <c r="M165" s="308">
        <f>N165</f>
        <v>0</v>
      </c>
      <c r="N165" s="293"/>
      <c r="O165" s="293"/>
      <c r="P165" s="297">
        <v>0</v>
      </c>
      <c r="Q165" s="322"/>
      <c r="R165" s="323"/>
      <c r="S165" s="1365"/>
      <c r="T165" s="1370"/>
      <c r="U165" s="1373"/>
      <c r="V165" s="1367"/>
      <c r="W165" s="1375" t="s">
        <v>303</v>
      </c>
      <c r="X165" s="1376"/>
    </row>
    <row r="166" spans="1:24" ht="13.5" hidden="1" customHeight="1" outlineLevel="1" x14ac:dyDescent="0.2">
      <c r="A166" s="1123"/>
      <c r="B166" s="1125"/>
      <c r="C166" s="1127"/>
      <c r="D166" s="1302"/>
      <c r="E166" s="1303"/>
      <c r="F166" s="324"/>
      <c r="G166" s="1364"/>
      <c r="H166" s="306" t="s">
        <v>226</v>
      </c>
      <c r="I166" s="307">
        <f>J166+L166</f>
        <v>0</v>
      </c>
      <c r="J166" s="291">
        <v>0</v>
      </c>
      <c r="K166" s="292">
        <v>0</v>
      </c>
      <c r="L166" s="291">
        <v>0</v>
      </c>
      <c r="M166" s="308">
        <f>N166+P166</f>
        <v>0</v>
      </c>
      <c r="N166" s="293"/>
      <c r="O166" s="293"/>
      <c r="P166" s="297">
        <v>0</v>
      </c>
      <c r="Q166" s="322"/>
      <c r="R166" s="323"/>
      <c r="S166" s="1365"/>
      <c r="T166" s="1370"/>
      <c r="U166" s="1373"/>
      <c r="V166" s="1367"/>
      <c r="W166" s="255"/>
      <c r="X166" s="256"/>
    </row>
    <row r="167" spans="1:24" ht="13.5" hidden="1" customHeight="1" outlineLevel="1" x14ac:dyDescent="0.2">
      <c r="A167" s="1123"/>
      <c r="B167" s="1125"/>
      <c r="C167" s="1127"/>
      <c r="D167" s="1302"/>
      <c r="E167" s="1303"/>
      <c r="F167" s="324"/>
      <c r="G167" s="1364"/>
      <c r="H167" s="306" t="s">
        <v>73</v>
      </c>
      <c r="I167" s="307">
        <f>J167+L167</f>
        <v>0</v>
      </c>
      <c r="J167" s="291">
        <v>0</v>
      </c>
      <c r="K167" s="292">
        <v>0</v>
      </c>
      <c r="L167" s="291">
        <v>0</v>
      </c>
      <c r="M167" s="308">
        <f>N167+P167</f>
        <v>0</v>
      </c>
      <c r="N167" s="293"/>
      <c r="O167" s="293"/>
      <c r="P167" s="297">
        <v>0</v>
      </c>
      <c r="Q167" s="322">
        <v>0</v>
      </c>
      <c r="R167" s="323">
        <v>0</v>
      </c>
      <c r="S167" s="1365"/>
      <c r="T167" s="1371"/>
      <c r="U167" s="1374"/>
      <c r="V167" s="1368"/>
      <c r="W167" s="255"/>
      <c r="X167" s="256"/>
    </row>
    <row r="168" spans="1:24" ht="17.25" hidden="1" customHeight="1" outlineLevel="1" x14ac:dyDescent="0.2">
      <c r="A168" s="1123"/>
      <c r="B168" s="1125"/>
      <c r="C168" s="1127"/>
      <c r="D168" s="1302"/>
      <c r="E168" s="1304"/>
      <c r="F168" s="299"/>
      <c r="G168" s="1364"/>
      <c r="H168" s="279" t="s">
        <v>13</v>
      </c>
      <c r="I168" s="312">
        <f t="shared" ref="I168:R168" si="48">SUM(I163:I167)</f>
        <v>0</v>
      </c>
      <c r="J168" s="313">
        <f t="shared" si="48"/>
        <v>0</v>
      </c>
      <c r="K168" s="288">
        <f t="shared" si="48"/>
        <v>0</v>
      </c>
      <c r="L168" s="313">
        <f t="shared" si="48"/>
        <v>0</v>
      </c>
      <c r="M168" s="314">
        <f t="shared" si="48"/>
        <v>0</v>
      </c>
      <c r="N168" s="315">
        <f t="shared" si="48"/>
        <v>0</v>
      </c>
      <c r="O168" s="315">
        <f t="shared" si="48"/>
        <v>0</v>
      </c>
      <c r="P168" s="316">
        <f t="shared" si="48"/>
        <v>0</v>
      </c>
      <c r="Q168" s="317">
        <f t="shared" si="48"/>
        <v>0</v>
      </c>
      <c r="R168" s="318">
        <f t="shared" si="48"/>
        <v>0</v>
      </c>
      <c r="S168" s="1365"/>
      <c r="T168" s="287">
        <f>SUM(T163)</f>
        <v>0</v>
      </c>
      <c r="U168" s="288">
        <f>SUM(U163)</f>
        <v>0</v>
      </c>
      <c r="V168" s="289"/>
      <c r="W168" s="255"/>
      <c r="X168" s="256"/>
    </row>
    <row r="169" spans="1:24" ht="15" customHeight="1" collapsed="1" x14ac:dyDescent="0.2">
      <c r="A169" s="1123" t="s">
        <v>17</v>
      </c>
      <c r="B169" s="1125" t="s">
        <v>17</v>
      </c>
      <c r="C169" s="1127" t="s">
        <v>19</v>
      </c>
      <c r="D169" s="1381" t="s">
        <v>304</v>
      </c>
      <c r="E169" s="1363" t="s">
        <v>305</v>
      </c>
      <c r="F169" s="320" t="s">
        <v>306</v>
      </c>
      <c r="G169" s="1363" t="s">
        <v>307</v>
      </c>
      <c r="H169" s="306" t="s">
        <v>222</v>
      </c>
      <c r="I169" s="307">
        <f>J169+L169</f>
        <v>221.9</v>
      </c>
      <c r="J169" s="291">
        <v>221.9</v>
      </c>
      <c r="K169" s="292">
        <v>2.9</v>
      </c>
      <c r="L169" s="291">
        <v>0</v>
      </c>
      <c r="M169" s="308">
        <f>N169+P169</f>
        <v>4.0999999999999996</v>
      </c>
      <c r="N169" s="293">
        <v>4.0999999999999996</v>
      </c>
      <c r="O169" s="293">
        <v>3.1</v>
      </c>
      <c r="P169" s="297">
        <v>0</v>
      </c>
      <c r="Q169" s="309">
        <v>222</v>
      </c>
      <c r="R169" s="295">
        <v>222</v>
      </c>
      <c r="S169" s="1365"/>
      <c r="T169" s="1389"/>
      <c r="U169" s="1390"/>
      <c r="V169" s="1377"/>
      <c r="W169" s="255"/>
      <c r="X169" s="256"/>
    </row>
    <row r="170" spans="1:24" ht="15" customHeight="1" x14ac:dyDescent="0.25">
      <c r="A170" s="1123"/>
      <c r="B170" s="1125"/>
      <c r="C170" s="1127"/>
      <c r="D170" s="1382"/>
      <c r="E170" s="1383"/>
      <c r="F170" s="327" t="s">
        <v>308</v>
      </c>
      <c r="G170" s="1385"/>
      <c r="H170" s="306" t="s">
        <v>224</v>
      </c>
      <c r="I170" s="307">
        <f>J170+L170</f>
        <v>0</v>
      </c>
      <c r="J170" s="291">
        <v>0</v>
      </c>
      <c r="K170" s="292">
        <v>0</v>
      </c>
      <c r="L170" s="291">
        <v>0</v>
      </c>
      <c r="M170" s="308">
        <f>N170+P170</f>
        <v>0</v>
      </c>
      <c r="N170" s="293">
        <v>0</v>
      </c>
      <c r="O170" s="293">
        <v>0</v>
      </c>
      <c r="P170" s="297">
        <v>0</v>
      </c>
      <c r="Q170" s="309">
        <v>0</v>
      </c>
      <c r="R170" s="295">
        <v>0</v>
      </c>
      <c r="S170" s="1365"/>
      <c r="T170" s="1389"/>
      <c r="U170" s="1390"/>
      <c r="V170" s="1377"/>
      <c r="W170" s="255"/>
      <c r="X170" s="256"/>
    </row>
    <row r="171" spans="1:24" ht="20.25" customHeight="1" x14ac:dyDescent="0.2">
      <c r="A171" s="1359"/>
      <c r="B171" s="1125"/>
      <c r="C171" s="1127"/>
      <c r="D171" s="1301"/>
      <c r="E171" s="1384"/>
      <c r="F171" s="328"/>
      <c r="G171" s="1386"/>
      <c r="H171" s="279" t="s">
        <v>13</v>
      </c>
      <c r="I171" s="312">
        <f>SUM(I169:I170)</f>
        <v>221.9</v>
      </c>
      <c r="J171" s="313">
        <f t="shared" ref="J171:R171" si="49">SUM(J169:J170)</f>
        <v>221.9</v>
      </c>
      <c r="K171" s="288">
        <f t="shared" si="49"/>
        <v>2.9</v>
      </c>
      <c r="L171" s="313">
        <f t="shared" si="49"/>
        <v>0</v>
      </c>
      <c r="M171" s="314">
        <f t="shared" si="49"/>
        <v>4.0999999999999996</v>
      </c>
      <c r="N171" s="315">
        <f t="shared" si="49"/>
        <v>4.0999999999999996</v>
      </c>
      <c r="O171" s="315">
        <f t="shared" si="49"/>
        <v>3.1</v>
      </c>
      <c r="P171" s="316">
        <f t="shared" si="49"/>
        <v>0</v>
      </c>
      <c r="Q171" s="317">
        <f t="shared" si="49"/>
        <v>222</v>
      </c>
      <c r="R171" s="318">
        <f t="shared" si="49"/>
        <v>222</v>
      </c>
      <c r="S171" s="1365"/>
      <c r="T171" s="287">
        <f>SUM(T169)</f>
        <v>0</v>
      </c>
      <c r="U171" s="288">
        <f>SUM(U169)</f>
        <v>0</v>
      </c>
      <c r="V171" s="289"/>
      <c r="W171" s="255"/>
      <c r="X171" s="256"/>
    </row>
    <row r="172" spans="1:24" ht="16.5" customHeight="1" x14ac:dyDescent="0.2">
      <c r="A172" s="1378" t="s">
        <v>17</v>
      </c>
      <c r="B172" s="1125" t="s">
        <v>17</v>
      </c>
      <c r="C172" s="1128" t="s">
        <v>20</v>
      </c>
      <c r="D172" s="1381" t="s">
        <v>309</v>
      </c>
      <c r="E172" s="1363" t="s">
        <v>310</v>
      </c>
      <c r="F172" s="305"/>
      <c r="G172" s="1363" t="s">
        <v>17</v>
      </c>
      <c r="H172" s="306" t="s">
        <v>222</v>
      </c>
      <c r="I172" s="307">
        <f>J172+L172</f>
        <v>37.5</v>
      </c>
      <c r="J172" s="291">
        <v>37.5</v>
      </c>
      <c r="K172" s="292">
        <v>27.4</v>
      </c>
      <c r="L172" s="291">
        <v>0</v>
      </c>
      <c r="M172" s="308">
        <f>N172+P172</f>
        <v>39.1</v>
      </c>
      <c r="N172" s="293">
        <v>39.1</v>
      </c>
      <c r="O172" s="293">
        <v>28.7</v>
      </c>
      <c r="P172" s="297">
        <v>0</v>
      </c>
      <c r="Q172" s="309">
        <v>46.5</v>
      </c>
      <c r="R172" s="295">
        <v>46.5</v>
      </c>
      <c r="S172" s="1397" t="s">
        <v>311</v>
      </c>
      <c r="T172" s="1294">
        <v>1</v>
      </c>
      <c r="U172" s="1168">
        <v>1</v>
      </c>
      <c r="V172" s="1366"/>
      <c r="W172" s="255"/>
      <c r="X172" s="256"/>
    </row>
    <row r="173" spans="1:24" ht="16.5" customHeight="1" x14ac:dyDescent="0.2">
      <c r="A173" s="1379"/>
      <c r="B173" s="1125"/>
      <c r="C173" s="1194"/>
      <c r="D173" s="1382"/>
      <c r="E173" s="1303"/>
      <c r="F173" s="290" t="s">
        <v>312</v>
      </c>
      <c r="G173" s="1303"/>
      <c r="H173" s="306" t="s">
        <v>224</v>
      </c>
      <c r="I173" s="307">
        <f>J173+L173</f>
        <v>82</v>
      </c>
      <c r="J173" s="291">
        <v>82</v>
      </c>
      <c r="K173" s="292">
        <v>62.6</v>
      </c>
      <c r="L173" s="291">
        <v>0</v>
      </c>
      <c r="M173" s="308">
        <f>N173+P173</f>
        <v>78.3</v>
      </c>
      <c r="N173" s="293">
        <v>78.3</v>
      </c>
      <c r="O173" s="293">
        <v>59.8</v>
      </c>
      <c r="P173" s="297">
        <v>0</v>
      </c>
      <c r="Q173" s="309">
        <v>67.900000000000006</v>
      </c>
      <c r="R173" s="295">
        <v>71.3</v>
      </c>
      <c r="S173" s="1398"/>
      <c r="T173" s="1300"/>
      <c r="U173" s="1260"/>
      <c r="V173" s="1367"/>
      <c r="W173" s="255"/>
      <c r="X173" s="329"/>
    </row>
    <row r="174" spans="1:24" ht="16.5" customHeight="1" x14ac:dyDescent="0.2">
      <c r="A174" s="1379"/>
      <c r="B174" s="1125"/>
      <c r="C174" s="1194"/>
      <c r="D174" s="1382"/>
      <c r="E174" s="1303"/>
      <c r="F174" s="246" t="s">
        <v>227</v>
      </c>
      <c r="G174" s="1303"/>
      <c r="H174" s="330" t="s">
        <v>73</v>
      </c>
      <c r="I174" s="307">
        <f>J174+L174</f>
        <v>0</v>
      </c>
      <c r="J174" s="291">
        <v>0</v>
      </c>
      <c r="K174" s="292">
        <v>0</v>
      </c>
      <c r="L174" s="291">
        <v>0</v>
      </c>
      <c r="M174" s="308">
        <f>N174+P174</f>
        <v>1.3</v>
      </c>
      <c r="N174" s="293">
        <v>1.3</v>
      </c>
      <c r="O174" s="293">
        <v>1</v>
      </c>
      <c r="P174" s="297">
        <v>0</v>
      </c>
      <c r="Q174" s="309">
        <v>0</v>
      </c>
      <c r="R174" s="295">
        <v>0</v>
      </c>
      <c r="S174" s="1398"/>
      <c r="T174" s="1295"/>
      <c r="U174" s="1169"/>
      <c r="V174" s="1368"/>
      <c r="W174" s="255"/>
      <c r="X174" s="329"/>
    </row>
    <row r="175" spans="1:24" ht="24" customHeight="1" x14ac:dyDescent="0.2">
      <c r="A175" s="1380"/>
      <c r="B175" s="1125"/>
      <c r="C175" s="1142"/>
      <c r="D175" s="1301"/>
      <c r="E175" s="1304"/>
      <c r="F175" s="304"/>
      <c r="G175" s="1304"/>
      <c r="H175" s="331" t="s">
        <v>13</v>
      </c>
      <c r="I175" s="312">
        <f t="shared" ref="I175:R175" si="50">SUM(I172:I174)</f>
        <v>119.5</v>
      </c>
      <c r="J175" s="313">
        <f t="shared" si="50"/>
        <v>119.5</v>
      </c>
      <c r="K175" s="288">
        <f t="shared" si="50"/>
        <v>90</v>
      </c>
      <c r="L175" s="313">
        <f t="shared" si="50"/>
        <v>0</v>
      </c>
      <c r="M175" s="314">
        <f t="shared" si="50"/>
        <v>118.7</v>
      </c>
      <c r="N175" s="315">
        <f t="shared" si="50"/>
        <v>118.7</v>
      </c>
      <c r="O175" s="315">
        <f t="shared" si="50"/>
        <v>89.5</v>
      </c>
      <c r="P175" s="316">
        <f t="shared" si="50"/>
        <v>0</v>
      </c>
      <c r="Q175" s="317">
        <f t="shared" si="50"/>
        <v>114.4</v>
      </c>
      <c r="R175" s="318">
        <f t="shared" si="50"/>
        <v>117.8</v>
      </c>
      <c r="S175" s="1399"/>
      <c r="T175" s="287">
        <f>SUM(T172)</f>
        <v>1</v>
      </c>
      <c r="U175" s="288">
        <f>SUM(U172)</f>
        <v>1</v>
      </c>
      <c r="V175" s="289"/>
      <c r="W175" s="255"/>
      <c r="X175" s="256"/>
    </row>
    <row r="176" spans="1:24" ht="20.25" customHeight="1" x14ac:dyDescent="0.2">
      <c r="A176" s="1378" t="s">
        <v>17</v>
      </c>
      <c r="B176" s="1125" t="s">
        <v>17</v>
      </c>
      <c r="C176" s="1128" t="s">
        <v>21</v>
      </c>
      <c r="D176" s="1381" t="s">
        <v>313</v>
      </c>
      <c r="E176" s="1363" t="s">
        <v>278</v>
      </c>
      <c r="F176" s="332" t="s">
        <v>314</v>
      </c>
      <c r="G176" s="1363" t="s">
        <v>315</v>
      </c>
      <c r="H176" s="333" t="s">
        <v>222</v>
      </c>
      <c r="I176" s="310">
        <f>J176+L176</f>
        <v>0</v>
      </c>
      <c r="J176" s="291">
        <v>0</v>
      </c>
      <c r="K176" s="292">
        <v>0</v>
      </c>
      <c r="L176" s="291">
        <v>0</v>
      </c>
      <c r="M176" s="308">
        <f>N176+P176</f>
        <v>0</v>
      </c>
      <c r="N176" s="293">
        <v>0</v>
      </c>
      <c r="O176" s="293">
        <v>0</v>
      </c>
      <c r="P176" s="297">
        <v>0</v>
      </c>
      <c r="Q176" s="309">
        <v>0</v>
      </c>
      <c r="R176" s="295">
        <v>0</v>
      </c>
      <c r="S176" s="1391" t="s">
        <v>316</v>
      </c>
      <c r="T176" s="1294">
        <v>25</v>
      </c>
      <c r="U176" s="1168">
        <v>25</v>
      </c>
      <c r="V176" s="1394"/>
      <c r="W176" s="255"/>
      <c r="X176" s="256"/>
    </row>
    <row r="177" spans="1:27" ht="14.25" customHeight="1" x14ac:dyDescent="0.2">
      <c r="A177" s="1379"/>
      <c r="B177" s="1125"/>
      <c r="C177" s="1194"/>
      <c r="D177" s="1382"/>
      <c r="E177" s="1303"/>
      <c r="F177" s="334" t="s">
        <v>314</v>
      </c>
      <c r="G177" s="1303"/>
      <c r="H177" s="335" t="s">
        <v>30</v>
      </c>
      <c r="I177" s="336">
        <f>J177+L177</f>
        <v>0</v>
      </c>
      <c r="J177" s="337">
        <v>0</v>
      </c>
      <c r="K177" s="338">
        <v>0</v>
      </c>
      <c r="L177" s="337">
        <v>0</v>
      </c>
      <c r="M177" s="339">
        <f>N177+P177</f>
        <v>0</v>
      </c>
      <c r="N177" s="340">
        <v>0</v>
      </c>
      <c r="O177" s="340">
        <v>0</v>
      </c>
      <c r="P177" s="341">
        <v>0</v>
      </c>
      <c r="Q177" s="342">
        <v>0</v>
      </c>
      <c r="R177" s="343">
        <v>0</v>
      </c>
      <c r="S177" s="1392"/>
      <c r="T177" s="1300"/>
      <c r="U177" s="1260"/>
      <c r="V177" s="1395"/>
      <c r="W177" s="255"/>
      <c r="X177" s="256"/>
    </row>
    <row r="178" spans="1:27" ht="13.5" customHeight="1" x14ac:dyDescent="0.2">
      <c r="A178" s="1379"/>
      <c r="B178" s="1125"/>
      <c r="C178" s="1194"/>
      <c r="D178" s="1382"/>
      <c r="E178" s="1303"/>
      <c r="F178" s="344" t="s">
        <v>317</v>
      </c>
      <c r="G178" s="1303"/>
      <c r="H178" s="335" t="s">
        <v>224</v>
      </c>
      <c r="I178" s="310">
        <f>J178+L178</f>
        <v>71.7</v>
      </c>
      <c r="J178" s="291">
        <v>71.7</v>
      </c>
      <c r="K178" s="292">
        <v>0</v>
      </c>
      <c r="L178" s="291">
        <v>0</v>
      </c>
      <c r="M178" s="308">
        <f>N178+P178</f>
        <v>73.179000000000002</v>
      </c>
      <c r="N178" s="293">
        <v>73.179000000000002</v>
      </c>
      <c r="O178" s="293">
        <v>0</v>
      </c>
      <c r="P178" s="297">
        <v>0</v>
      </c>
      <c r="Q178" s="309">
        <v>72</v>
      </c>
      <c r="R178" s="295">
        <v>72</v>
      </c>
      <c r="S178" s="1392"/>
      <c r="T178" s="1295"/>
      <c r="U178" s="1169"/>
      <c r="V178" s="1396"/>
      <c r="W178" s="255"/>
      <c r="X178" s="256"/>
    </row>
    <row r="179" spans="1:27" ht="19.5" customHeight="1" thickBot="1" x14ac:dyDescent="0.25">
      <c r="A179" s="1380"/>
      <c r="B179" s="1125"/>
      <c r="C179" s="1142"/>
      <c r="D179" s="1387"/>
      <c r="E179" s="1388"/>
      <c r="F179" s="345"/>
      <c r="G179" s="1388"/>
      <c r="H179" s="331" t="s">
        <v>13</v>
      </c>
      <c r="I179" s="346">
        <f>SUM(I176:I178)</f>
        <v>71.7</v>
      </c>
      <c r="J179" s="347">
        <f>SUM(J176:J178)</f>
        <v>71.7</v>
      </c>
      <c r="K179" s="348">
        <f t="shared" ref="K179:P179" si="51">SUM(K176:K176)</f>
        <v>0</v>
      </c>
      <c r="L179" s="347">
        <f t="shared" si="51"/>
        <v>0</v>
      </c>
      <c r="M179" s="349">
        <f>SUM(M176:M178)</f>
        <v>73.179000000000002</v>
      </c>
      <c r="N179" s="350">
        <f>SUM(N176:N178)</f>
        <v>73.179000000000002</v>
      </c>
      <c r="O179" s="350">
        <f t="shared" si="51"/>
        <v>0</v>
      </c>
      <c r="P179" s="351">
        <f t="shared" si="51"/>
        <v>0</v>
      </c>
      <c r="Q179" s="352">
        <f>SUM(Q176:Q178)</f>
        <v>72</v>
      </c>
      <c r="R179" s="353">
        <f>SUM(R176:R178)</f>
        <v>72</v>
      </c>
      <c r="S179" s="1393"/>
      <c r="T179" s="354">
        <f>SUM(T176)</f>
        <v>25</v>
      </c>
      <c r="U179" s="288">
        <f>SUM(U176)</f>
        <v>25</v>
      </c>
      <c r="V179" s="355"/>
      <c r="W179" s="255"/>
      <c r="X179" s="256"/>
    </row>
    <row r="180" spans="1:27" ht="21" customHeight="1" thickBot="1" x14ac:dyDescent="0.25">
      <c r="A180" s="356" t="s">
        <v>17</v>
      </c>
      <c r="B180" s="357" t="s">
        <v>17</v>
      </c>
      <c r="C180" s="1114" t="s">
        <v>14</v>
      </c>
      <c r="D180" s="1114"/>
      <c r="E180" s="1114"/>
      <c r="F180" s="1114"/>
      <c r="G180" s="1114"/>
      <c r="H180" s="1115"/>
      <c r="I180" s="358">
        <f t="shared" ref="I180:R180" si="52">SUM(I22,I106,I171,I175,I179)</f>
        <v>7849.4999999999991</v>
      </c>
      <c r="J180" s="359">
        <f t="shared" si="52"/>
        <v>7731.8999999999987</v>
      </c>
      <c r="K180" s="359">
        <f t="shared" si="52"/>
        <v>4830.5999999999995</v>
      </c>
      <c r="L180" s="360">
        <f t="shared" si="52"/>
        <v>117.6</v>
      </c>
      <c r="M180" s="361">
        <f t="shared" si="52"/>
        <v>7754.5379999999996</v>
      </c>
      <c r="N180" s="362">
        <f t="shared" si="52"/>
        <v>7739.5379999999996</v>
      </c>
      <c r="O180" s="362">
        <f t="shared" si="52"/>
        <v>5161.2630000000008</v>
      </c>
      <c r="P180" s="363">
        <f t="shared" si="52"/>
        <v>15</v>
      </c>
      <c r="Q180" s="364">
        <f>SUM(Q22,Q106,Q171,Q175,Q179)</f>
        <v>7875.5</v>
      </c>
      <c r="R180" s="365">
        <f t="shared" si="52"/>
        <v>8074.4</v>
      </c>
      <c r="S180" s="366" t="s">
        <v>23</v>
      </c>
      <c r="T180" s="367" t="s">
        <v>23</v>
      </c>
      <c r="U180" s="368" t="s">
        <v>23</v>
      </c>
      <c r="V180" s="369" t="s">
        <v>23</v>
      </c>
    </row>
    <row r="181" spans="1:27" ht="23.25" customHeight="1" thickBot="1" x14ac:dyDescent="0.25">
      <c r="A181" s="370" t="s">
        <v>17</v>
      </c>
      <c r="B181" s="371">
        <v>2</v>
      </c>
      <c r="C181" s="1354" t="s">
        <v>318</v>
      </c>
      <c r="D181" s="1355"/>
      <c r="E181" s="1355"/>
      <c r="F181" s="1355"/>
      <c r="G181" s="1355"/>
      <c r="H181" s="1355"/>
      <c r="I181" s="1355"/>
      <c r="J181" s="1355"/>
      <c r="K181" s="1355"/>
      <c r="L181" s="1355"/>
      <c r="M181" s="1355"/>
      <c r="N181" s="1355"/>
      <c r="O181" s="1355"/>
      <c r="P181" s="1355"/>
      <c r="Q181" s="1355"/>
      <c r="R181" s="1355"/>
      <c r="S181" s="1355"/>
      <c r="T181" s="1355"/>
      <c r="U181" s="1355"/>
      <c r="V181" s="1356"/>
      <c r="W181" s="255"/>
    </row>
    <row r="182" spans="1:27" ht="17.25" customHeight="1" x14ac:dyDescent="0.2">
      <c r="A182" s="1140" t="s">
        <v>17</v>
      </c>
      <c r="B182" s="1141" t="s">
        <v>18</v>
      </c>
      <c r="C182" s="1142" t="s">
        <v>17</v>
      </c>
      <c r="D182" s="1301" t="s">
        <v>319</v>
      </c>
      <c r="E182" s="1303" t="s">
        <v>320</v>
      </c>
      <c r="F182" s="302"/>
      <c r="G182" s="1304" t="s">
        <v>321</v>
      </c>
      <c r="H182" s="330" t="s">
        <v>222</v>
      </c>
      <c r="I182" s="372">
        <f t="shared" ref="I182:I187" si="53">J182+L182</f>
        <v>26.9</v>
      </c>
      <c r="J182" s="338">
        <v>26.9</v>
      </c>
      <c r="K182" s="373">
        <v>20.6</v>
      </c>
      <c r="L182" s="374">
        <v>0</v>
      </c>
      <c r="M182" s="375">
        <f t="shared" ref="M182:M187" si="54">N182+P182</f>
        <v>50.546999999999997</v>
      </c>
      <c r="N182" s="376">
        <v>50.546999999999997</v>
      </c>
      <c r="O182" s="376">
        <v>39.287999999999997</v>
      </c>
      <c r="P182" s="377">
        <v>0</v>
      </c>
      <c r="Q182" s="342">
        <v>26.9</v>
      </c>
      <c r="R182" s="378">
        <v>26.9</v>
      </c>
      <c r="S182" s="1400" t="s">
        <v>322</v>
      </c>
      <c r="T182" s="1402">
        <v>2800</v>
      </c>
      <c r="U182" s="1403">
        <v>2800</v>
      </c>
      <c r="V182" s="1404"/>
      <c r="W182" s="255"/>
    </row>
    <row r="183" spans="1:27" ht="18" customHeight="1" x14ac:dyDescent="0.2">
      <c r="A183" s="1123"/>
      <c r="B183" s="1125"/>
      <c r="C183" s="1127"/>
      <c r="D183" s="1302"/>
      <c r="E183" s="1303"/>
      <c r="F183" s="379" t="s">
        <v>323</v>
      </c>
      <c r="G183" s="1364"/>
      <c r="H183" s="306" t="s">
        <v>224</v>
      </c>
      <c r="I183" s="372">
        <f t="shared" si="53"/>
        <v>284.3</v>
      </c>
      <c r="J183" s="338">
        <v>284.3</v>
      </c>
      <c r="K183" s="373">
        <v>189</v>
      </c>
      <c r="L183" s="374">
        <v>0</v>
      </c>
      <c r="M183" s="308">
        <f t="shared" si="54"/>
        <v>267.69499999999999</v>
      </c>
      <c r="N183" s="293">
        <v>267.69499999999999</v>
      </c>
      <c r="O183" s="293">
        <v>191.19900000000001</v>
      </c>
      <c r="P183" s="297">
        <v>0</v>
      </c>
      <c r="Q183" s="309">
        <v>298.5</v>
      </c>
      <c r="R183" s="380">
        <v>298.5</v>
      </c>
      <c r="S183" s="1392"/>
      <c r="T183" s="1218"/>
      <c r="U183" s="1189"/>
      <c r="V183" s="1405"/>
      <c r="W183" s="255"/>
    </row>
    <row r="184" spans="1:27" ht="18" customHeight="1" x14ac:dyDescent="0.2">
      <c r="A184" s="1123"/>
      <c r="B184" s="1125"/>
      <c r="C184" s="1127"/>
      <c r="D184" s="1302"/>
      <c r="E184" s="1303"/>
      <c r="F184" s="381" t="s">
        <v>324</v>
      </c>
      <c r="G184" s="1364"/>
      <c r="H184" s="306" t="s">
        <v>226</v>
      </c>
      <c r="I184" s="372">
        <f t="shared" si="53"/>
        <v>17.7</v>
      </c>
      <c r="J184" s="338">
        <v>17.7</v>
      </c>
      <c r="K184" s="373">
        <v>0</v>
      </c>
      <c r="L184" s="374">
        <v>0</v>
      </c>
      <c r="M184" s="308">
        <f t="shared" si="54"/>
        <v>16</v>
      </c>
      <c r="N184" s="293">
        <v>16</v>
      </c>
      <c r="O184" s="293">
        <v>0</v>
      </c>
      <c r="P184" s="297">
        <v>0</v>
      </c>
      <c r="Q184" s="309">
        <v>19.5</v>
      </c>
      <c r="R184" s="380">
        <v>19.5</v>
      </c>
      <c r="S184" s="1392"/>
      <c r="T184" s="1219"/>
      <c r="U184" s="1190"/>
      <c r="V184" s="1406"/>
      <c r="W184" s="255"/>
      <c r="X184" s="256"/>
      <c r="Y184" s="256"/>
      <c r="Z184" s="256"/>
      <c r="AA184" s="256"/>
    </row>
    <row r="185" spans="1:27" ht="18" customHeight="1" x14ac:dyDescent="0.2">
      <c r="A185" s="1123"/>
      <c r="B185" s="1125"/>
      <c r="C185" s="1127"/>
      <c r="D185" s="1302"/>
      <c r="E185" s="1303"/>
      <c r="F185" s="246" t="s">
        <v>227</v>
      </c>
      <c r="G185" s="1364"/>
      <c r="H185" s="306" t="s">
        <v>73</v>
      </c>
      <c r="I185" s="372">
        <f t="shared" si="53"/>
        <v>0</v>
      </c>
      <c r="J185" s="338">
        <v>0</v>
      </c>
      <c r="K185" s="373">
        <v>0</v>
      </c>
      <c r="L185" s="374">
        <v>0</v>
      </c>
      <c r="M185" s="308">
        <f t="shared" si="54"/>
        <v>1.6</v>
      </c>
      <c r="N185" s="293">
        <v>1.6</v>
      </c>
      <c r="O185" s="293">
        <v>1.3</v>
      </c>
      <c r="P185" s="297">
        <v>0</v>
      </c>
      <c r="Q185" s="309">
        <v>0</v>
      </c>
      <c r="R185" s="380">
        <v>0</v>
      </c>
      <c r="S185" s="1401"/>
      <c r="T185" s="382">
        <f>SUM(T182)</f>
        <v>2800</v>
      </c>
      <c r="U185" s="383">
        <f>SUM(U182)</f>
        <v>2800</v>
      </c>
      <c r="V185" s="384"/>
      <c r="W185" s="255"/>
      <c r="X185" s="256"/>
      <c r="Y185" s="256"/>
      <c r="Z185" s="256"/>
      <c r="AA185" s="256"/>
    </row>
    <row r="186" spans="1:27" ht="18" customHeight="1" x14ac:dyDescent="0.2">
      <c r="A186" s="1123"/>
      <c r="B186" s="1125"/>
      <c r="C186" s="1127"/>
      <c r="D186" s="1302"/>
      <c r="E186" s="1303"/>
      <c r="F186" s="302"/>
      <c r="G186" s="1364"/>
      <c r="H186" s="306" t="s">
        <v>73</v>
      </c>
      <c r="I186" s="372">
        <f t="shared" si="53"/>
        <v>0</v>
      </c>
      <c r="J186" s="338">
        <v>0</v>
      </c>
      <c r="K186" s="373">
        <v>0</v>
      </c>
      <c r="L186" s="374">
        <v>0</v>
      </c>
      <c r="M186" s="308">
        <f t="shared" si="54"/>
        <v>5.7</v>
      </c>
      <c r="N186" s="293">
        <v>5.7</v>
      </c>
      <c r="O186" s="293">
        <v>4.3</v>
      </c>
      <c r="P186" s="297">
        <v>0</v>
      </c>
      <c r="Q186" s="309">
        <v>0</v>
      </c>
      <c r="R186" s="380">
        <v>0</v>
      </c>
      <c r="S186" s="1391" t="s">
        <v>325</v>
      </c>
      <c r="T186" s="1217">
        <v>170</v>
      </c>
      <c r="U186" s="1188">
        <v>170</v>
      </c>
      <c r="V186" s="1288"/>
      <c r="W186" s="255"/>
      <c r="X186" s="256"/>
      <c r="Y186" s="256"/>
      <c r="Z186" s="256"/>
      <c r="AA186" s="256"/>
    </row>
    <row r="187" spans="1:27" ht="18" customHeight="1" x14ac:dyDescent="0.2">
      <c r="A187" s="1123"/>
      <c r="B187" s="1125"/>
      <c r="C187" s="1127"/>
      <c r="D187" s="1302"/>
      <c r="E187" s="1303"/>
      <c r="F187" s="385" t="s">
        <v>326</v>
      </c>
      <c r="G187" s="1364"/>
      <c r="H187" s="306" t="s">
        <v>73</v>
      </c>
      <c r="I187" s="372">
        <f t="shared" si="53"/>
        <v>0</v>
      </c>
      <c r="J187" s="338">
        <v>0</v>
      </c>
      <c r="K187" s="373">
        <v>0</v>
      </c>
      <c r="L187" s="374">
        <v>0</v>
      </c>
      <c r="M187" s="308">
        <f t="shared" si="54"/>
        <v>2.1360000000000001</v>
      </c>
      <c r="N187" s="293">
        <v>2.1360000000000001</v>
      </c>
      <c r="O187" s="293">
        <v>1.53</v>
      </c>
      <c r="P187" s="297">
        <v>0</v>
      </c>
      <c r="Q187" s="309">
        <v>0</v>
      </c>
      <c r="R187" s="380">
        <v>0</v>
      </c>
      <c r="S187" s="1392"/>
      <c r="T187" s="1219"/>
      <c r="U187" s="1386"/>
      <c r="V187" s="1407"/>
      <c r="W187" s="255"/>
      <c r="X187" s="256"/>
      <c r="Y187" s="256"/>
      <c r="Z187" s="256"/>
      <c r="AA187" s="256"/>
    </row>
    <row r="188" spans="1:27" ht="13.5" customHeight="1" x14ac:dyDescent="0.2">
      <c r="A188" s="1123"/>
      <c r="B188" s="1125"/>
      <c r="C188" s="1127"/>
      <c r="D188" s="1302"/>
      <c r="E188" s="1304"/>
      <c r="F188" s="386"/>
      <c r="G188" s="1364"/>
      <c r="H188" s="387" t="s">
        <v>13</v>
      </c>
      <c r="I188" s="287">
        <f t="shared" ref="I188:R188" si="55">SUM(I182:I187)</f>
        <v>328.9</v>
      </c>
      <c r="J188" s="288">
        <f t="shared" si="55"/>
        <v>328.9</v>
      </c>
      <c r="K188" s="288">
        <f t="shared" si="55"/>
        <v>209.6</v>
      </c>
      <c r="L188" s="313">
        <f t="shared" si="55"/>
        <v>0</v>
      </c>
      <c r="M188" s="314">
        <f t="shared" si="55"/>
        <v>343.678</v>
      </c>
      <c r="N188" s="315">
        <f t="shared" si="55"/>
        <v>343.678</v>
      </c>
      <c r="O188" s="315">
        <f t="shared" si="55"/>
        <v>237.61700000000005</v>
      </c>
      <c r="P188" s="316">
        <f t="shared" si="55"/>
        <v>0</v>
      </c>
      <c r="Q188" s="317">
        <f t="shared" si="55"/>
        <v>344.9</v>
      </c>
      <c r="R188" s="388">
        <f t="shared" si="55"/>
        <v>344.9</v>
      </c>
      <c r="S188" s="1401"/>
      <c r="T188" s="312">
        <f>SUM(T186)</f>
        <v>170</v>
      </c>
      <c r="U188" s="288">
        <f>SUM(U186)</f>
        <v>170</v>
      </c>
      <c r="V188" s="389"/>
      <c r="W188" s="255"/>
    </row>
    <row r="189" spans="1:27" ht="21.75" customHeight="1" x14ac:dyDescent="0.2">
      <c r="A189" s="1123" t="s">
        <v>17</v>
      </c>
      <c r="B189" s="1125" t="s">
        <v>18</v>
      </c>
      <c r="C189" s="1127" t="s">
        <v>18</v>
      </c>
      <c r="D189" s="1302" t="s">
        <v>327</v>
      </c>
      <c r="E189" s="1363" t="s">
        <v>328</v>
      </c>
      <c r="F189" s="305"/>
      <c r="G189" s="1364" t="s">
        <v>329</v>
      </c>
      <c r="H189" s="306" t="s">
        <v>224</v>
      </c>
      <c r="I189" s="307">
        <f>I191+I193+I195+I197+I199+I201+I203+I205+I207+I209+I211+I213+I215+I217</f>
        <v>145.79999999999998</v>
      </c>
      <c r="J189" s="292">
        <f>J191+J193+J195+J197+J199+J201+J203+J207+J209+J211+J213+J217</f>
        <v>145.79999999999998</v>
      </c>
      <c r="K189" s="292">
        <f>K191+K193+K195+K197+K199+K201+K203+K207+K209+K211+K213+K217</f>
        <v>0</v>
      </c>
      <c r="L189" s="390">
        <f>L191+L193+L195+L197+L199+L201+L203+L207+L209+L211+L213+L217</f>
        <v>0</v>
      </c>
      <c r="M189" s="308">
        <f>M191+M193+M195+M197+M199+M201+M203+M205+M207+M209+M211+M213+M215+M217</f>
        <v>127.619</v>
      </c>
      <c r="N189" s="293">
        <f>N191+N193+N195+N197+N199+N201+N203+N207+N209+N211+N213+N217</f>
        <v>127.619</v>
      </c>
      <c r="O189" s="293">
        <v>0</v>
      </c>
      <c r="P189" s="297">
        <v>0</v>
      </c>
      <c r="Q189" s="309">
        <f>Q191+Q193+Q195+Q197+Q199+Q201+Q203+Q207+Q209+Q211+Q213+Q217</f>
        <v>142.39999999999998</v>
      </c>
      <c r="R189" s="380">
        <f>R191+R193+R195+R197+R199+R201+R203+R207+R209+R211+R213+R217</f>
        <v>141</v>
      </c>
      <c r="S189" s="1181" t="s">
        <v>330</v>
      </c>
      <c r="T189" s="307">
        <f>T191+T193+T195+T197+T199+T201+T203+T205+T207+T209+T211+T213+T215+T217</f>
        <v>1014</v>
      </c>
      <c r="U189" s="307">
        <f>U191+U193+U195+U197+U199+U201+U203+U205+U207+U209+U211+U213+U215+U217</f>
        <v>1014</v>
      </c>
      <c r="V189" s="391"/>
      <c r="W189" s="255"/>
      <c r="X189" s="256"/>
      <c r="Y189" s="256"/>
      <c r="Z189" s="256"/>
      <c r="AA189" s="256"/>
    </row>
    <row r="190" spans="1:27" ht="15" customHeight="1" x14ac:dyDescent="0.2">
      <c r="A190" s="1359"/>
      <c r="B190" s="1362"/>
      <c r="C190" s="1128"/>
      <c r="D190" s="1381"/>
      <c r="E190" s="1304"/>
      <c r="F190" s="302"/>
      <c r="G190" s="1363"/>
      <c r="H190" s="392" t="s">
        <v>13</v>
      </c>
      <c r="I190" s="287">
        <f>SUM(I189)</f>
        <v>145.79999999999998</v>
      </c>
      <c r="J190" s="288">
        <f t="shared" ref="J190:R190" si="56">SUM(J189)</f>
        <v>145.79999999999998</v>
      </c>
      <c r="K190" s="288">
        <f t="shared" si="56"/>
        <v>0</v>
      </c>
      <c r="L190" s="313">
        <f t="shared" si="56"/>
        <v>0</v>
      </c>
      <c r="M190" s="314">
        <f t="shared" si="56"/>
        <v>127.619</v>
      </c>
      <c r="N190" s="315">
        <f t="shared" si="56"/>
        <v>127.619</v>
      </c>
      <c r="O190" s="315">
        <f t="shared" si="56"/>
        <v>0</v>
      </c>
      <c r="P190" s="316">
        <f t="shared" si="56"/>
        <v>0</v>
      </c>
      <c r="Q190" s="317">
        <f t="shared" si="56"/>
        <v>142.39999999999998</v>
      </c>
      <c r="R190" s="388">
        <f t="shared" si="56"/>
        <v>141</v>
      </c>
      <c r="S190" s="1181"/>
      <c r="T190" s="287">
        <f>SUM(T189:T189)</f>
        <v>1014</v>
      </c>
      <c r="U190" s="288">
        <f>SUM(U189:U189)</f>
        <v>1014</v>
      </c>
      <c r="V190" s="289"/>
      <c r="W190" s="255"/>
    </row>
    <row r="191" spans="1:27" ht="17.25" hidden="1" customHeight="1" outlineLevel="1" x14ac:dyDescent="0.2">
      <c r="A191" s="1123" t="s">
        <v>17</v>
      </c>
      <c r="B191" s="1125" t="s">
        <v>18</v>
      </c>
      <c r="C191" s="1127" t="s">
        <v>277</v>
      </c>
      <c r="D191" s="1302" t="s">
        <v>327</v>
      </c>
      <c r="E191" s="1363" t="s">
        <v>328</v>
      </c>
      <c r="F191" s="320" t="s">
        <v>232</v>
      </c>
      <c r="G191" s="1364" t="s">
        <v>231</v>
      </c>
      <c r="H191" s="306" t="s">
        <v>224</v>
      </c>
      <c r="I191" s="310">
        <f>J191</f>
        <v>43</v>
      </c>
      <c r="J191" s="292">
        <v>43</v>
      </c>
      <c r="K191" s="292">
        <v>0</v>
      </c>
      <c r="L191" s="291">
        <v>0</v>
      </c>
      <c r="M191" s="308">
        <f>N191</f>
        <v>39.4</v>
      </c>
      <c r="N191" s="293">
        <v>39.4</v>
      </c>
      <c r="O191" s="293">
        <v>0</v>
      </c>
      <c r="P191" s="297">
        <v>0</v>
      </c>
      <c r="Q191" s="309">
        <v>43</v>
      </c>
      <c r="R191" s="380">
        <v>43</v>
      </c>
      <c r="S191" s="1181" t="s">
        <v>330</v>
      </c>
      <c r="T191" s="310">
        <v>173</v>
      </c>
      <c r="U191" s="292">
        <v>173</v>
      </c>
      <c r="V191" s="393"/>
      <c r="W191" s="255"/>
    </row>
    <row r="192" spans="1:27" ht="17.25" hidden="1" customHeight="1" outlineLevel="1" x14ac:dyDescent="0.2">
      <c r="A192" s="1359"/>
      <c r="B192" s="1362"/>
      <c r="C192" s="1128"/>
      <c r="D192" s="1381"/>
      <c r="E192" s="1304"/>
      <c r="F192" s="302" t="s">
        <v>233</v>
      </c>
      <c r="G192" s="1363"/>
      <c r="H192" s="392" t="s">
        <v>13</v>
      </c>
      <c r="I192" s="287">
        <f>SUM(I191)</f>
        <v>43</v>
      </c>
      <c r="J192" s="288">
        <f t="shared" ref="J192:R192" si="57">SUM(J191)</f>
        <v>43</v>
      </c>
      <c r="K192" s="288">
        <f t="shared" si="57"/>
        <v>0</v>
      </c>
      <c r="L192" s="313">
        <f t="shared" si="57"/>
        <v>0</v>
      </c>
      <c r="M192" s="314">
        <f t="shared" si="57"/>
        <v>39.4</v>
      </c>
      <c r="N192" s="315">
        <f t="shared" si="57"/>
        <v>39.4</v>
      </c>
      <c r="O192" s="315">
        <f t="shared" si="57"/>
        <v>0</v>
      </c>
      <c r="P192" s="316">
        <f t="shared" si="57"/>
        <v>0</v>
      </c>
      <c r="Q192" s="317">
        <f t="shared" si="57"/>
        <v>43</v>
      </c>
      <c r="R192" s="388">
        <f t="shared" si="57"/>
        <v>43</v>
      </c>
      <c r="S192" s="1181"/>
      <c r="T192" s="287">
        <f>SUM(T191:T191)</f>
        <v>173</v>
      </c>
      <c r="U192" s="288">
        <f>SUM(U191:U191)</f>
        <v>173</v>
      </c>
      <c r="V192" s="289"/>
      <c r="W192" s="255"/>
    </row>
    <row r="193" spans="1:23" ht="17.25" hidden="1" customHeight="1" outlineLevel="1" x14ac:dyDescent="0.2">
      <c r="A193" s="1123" t="s">
        <v>17</v>
      </c>
      <c r="B193" s="1125" t="s">
        <v>18</v>
      </c>
      <c r="C193" s="1127" t="s">
        <v>282</v>
      </c>
      <c r="D193" s="1302" t="s">
        <v>327</v>
      </c>
      <c r="E193" s="1363" t="s">
        <v>328</v>
      </c>
      <c r="F193" s="320" t="s">
        <v>236</v>
      </c>
      <c r="G193" s="1364" t="s">
        <v>235</v>
      </c>
      <c r="H193" s="306" t="s">
        <v>224</v>
      </c>
      <c r="I193" s="310">
        <f>J193</f>
        <v>45</v>
      </c>
      <c r="J193" s="292">
        <v>45</v>
      </c>
      <c r="K193" s="292">
        <v>0</v>
      </c>
      <c r="L193" s="291">
        <v>0</v>
      </c>
      <c r="M193" s="308">
        <f>N193</f>
        <v>40</v>
      </c>
      <c r="N193" s="293">
        <v>40</v>
      </c>
      <c r="O193" s="293">
        <v>0</v>
      </c>
      <c r="P193" s="297">
        <v>0</v>
      </c>
      <c r="Q193" s="309">
        <v>44</v>
      </c>
      <c r="R193" s="380">
        <v>44</v>
      </c>
      <c r="S193" s="1181" t="s">
        <v>330</v>
      </c>
      <c r="T193" s="310">
        <v>211</v>
      </c>
      <c r="U193" s="292">
        <v>211</v>
      </c>
      <c r="V193" s="393"/>
      <c r="W193" s="255"/>
    </row>
    <row r="194" spans="1:23" ht="17.25" hidden="1" customHeight="1" outlineLevel="1" x14ac:dyDescent="0.2">
      <c r="A194" s="1359"/>
      <c r="B194" s="1362"/>
      <c r="C194" s="1128"/>
      <c r="D194" s="1381"/>
      <c r="E194" s="1304"/>
      <c r="F194" s="290" t="s">
        <v>233</v>
      </c>
      <c r="G194" s="1363"/>
      <c r="H194" s="392" t="s">
        <v>13</v>
      </c>
      <c r="I194" s="287">
        <f>SUM(I193)</f>
        <v>45</v>
      </c>
      <c r="J194" s="288">
        <f t="shared" ref="J194:Q194" si="58">SUM(J193)</f>
        <v>45</v>
      </c>
      <c r="K194" s="288">
        <f t="shared" si="58"/>
        <v>0</v>
      </c>
      <c r="L194" s="313">
        <f t="shared" si="58"/>
        <v>0</v>
      </c>
      <c r="M194" s="314">
        <f t="shared" si="58"/>
        <v>40</v>
      </c>
      <c r="N194" s="315">
        <f t="shared" si="58"/>
        <v>40</v>
      </c>
      <c r="O194" s="315">
        <f t="shared" si="58"/>
        <v>0</v>
      </c>
      <c r="P194" s="316">
        <f t="shared" si="58"/>
        <v>0</v>
      </c>
      <c r="Q194" s="317">
        <f t="shared" si="58"/>
        <v>44</v>
      </c>
      <c r="R194" s="388">
        <f>SUM(R193)</f>
        <v>44</v>
      </c>
      <c r="S194" s="1181"/>
      <c r="T194" s="287">
        <f>SUM(T193:T193)</f>
        <v>211</v>
      </c>
      <c r="U194" s="288">
        <f>SUM(U193:U193)</f>
        <v>211</v>
      </c>
      <c r="V194" s="289"/>
      <c r="W194" s="255"/>
    </row>
    <row r="195" spans="1:23" ht="17.25" hidden="1" customHeight="1" outlineLevel="1" x14ac:dyDescent="0.2">
      <c r="A195" s="1123" t="s">
        <v>17</v>
      </c>
      <c r="B195" s="1125" t="s">
        <v>18</v>
      </c>
      <c r="C195" s="1127" t="s">
        <v>286</v>
      </c>
      <c r="D195" s="1302" t="s">
        <v>327</v>
      </c>
      <c r="E195" s="1363" t="s">
        <v>328</v>
      </c>
      <c r="F195" s="320" t="s">
        <v>240</v>
      </c>
      <c r="G195" s="1364" t="s">
        <v>239</v>
      </c>
      <c r="H195" s="306" t="s">
        <v>224</v>
      </c>
      <c r="I195" s="310">
        <f>J195+L195</f>
        <v>7.6</v>
      </c>
      <c r="J195" s="292">
        <v>7.6</v>
      </c>
      <c r="K195" s="292">
        <v>0</v>
      </c>
      <c r="L195" s="291">
        <v>0</v>
      </c>
      <c r="M195" s="308">
        <f>N195</f>
        <v>6.9880000000000004</v>
      </c>
      <c r="N195" s="293">
        <v>6.9880000000000004</v>
      </c>
      <c r="O195" s="293">
        <v>0</v>
      </c>
      <c r="P195" s="297">
        <v>0</v>
      </c>
      <c r="Q195" s="309">
        <v>8.4</v>
      </c>
      <c r="R195" s="380">
        <v>8.4</v>
      </c>
      <c r="S195" s="1181" t="s">
        <v>330</v>
      </c>
      <c r="T195" s="310">
        <v>51</v>
      </c>
      <c r="U195" s="292">
        <v>51</v>
      </c>
      <c r="V195" s="393"/>
      <c r="W195" s="255"/>
    </row>
    <row r="196" spans="1:23" ht="17.25" hidden="1" customHeight="1" outlineLevel="1" x14ac:dyDescent="0.2">
      <c r="A196" s="1359"/>
      <c r="B196" s="1362"/>
      <c r="C196" s="1128"/>
      <c r="D196" s="1381"/>
      <c r="E196" s="1304"/>
      <c r="F196" s="290" t="s">
        <v>241</v>
      </c>
      <c r="G196" s="1363"/>
      <c r="H196" s="392" t="s">
        <v>13</v>
      </c>
      <c r="I196" s="287">
        <f>SUM(I195)</f>
        <v>7.6</v>
      </c>
      <c r="J196" s="288">
        <f t="shared" ref="J196:R196" si="59">SUM(J195)</f>
        <v>7.6</v>
      </c>
      <c r="K196" s="288">
        <f t="shared" si="59"/>
        <v>0</v>
      </c>
      <c r="L196" s="313">
        <f t="shared" si="59"/>
        <v>0</v>
      </c>
      <c r="M196" s="314">
        <f t="shared" si="59"/>
        <v>6.9880000000000004</v>
      </c>
      <c r="N196" s="315">
        <f t="shared" si="59"/>
        <v>6.9880000000000004</v>
      </c>
      <c r="O196" s="315">
        <f t="shared" si="59"/>
        <v>0</v>
      </c>
      <c r="P196" s="316">
        <f t="shared" si="59"/>
        <v>0</v>
      </c>
      <c r="Q196" s="317">
        <f t="shared" si="59"/>
        <v>8.4</v>
      </c>
      <c r="R196" s="388">
        <f t="shared" si="59"/>
        <v>8.4</v>
      </c>
      <c r="S196" s="1181"/>
      <c r="T196" s="287">
        <f>SUM(T195:T195)</f>
        <v>51</v>
      </c>
      <c r="U196" s="288">
        <f>SUM(U195:U195)</f>
        <v>51</v>
      </c>
      <c r="V196" s="289"/>
      <c r="W196" s="255"/>
    </row>
    <row r="197" spans="1:23" ht="17.25" hidden="1" customHeight="1" outlineLevel="1" x14ac:dyDescent="0.2">
      <c r="A197" s="1123" t="s">
        <v>17</v>
      </c>
      <c r="B197" s="1125" t="s">
        <v>18</v>
      </c>
      <c r="C197" s="1127" t="s">
        <v>289</v>
      </c>
      <c r="D197" s="1302" t="s">
        <v>327</v>
      </c>
      <c r="E197" s="1363" t="s">
        <v>328</v>
      </c>
      <c r="F197" s="320" t="s">
        <v>244</v>
      </c>
      <c r="G197" s="1364" t="s">
        <v>243</v>
      </c>
      <c r="H197" s="306" t="s">
        <v>224</v>
      </c>
      <c r="I197" s="310">
        <f>J197</f>
        <v>7.8</v>
      </c>
      <c r="J197" s="292">
        <v>7.8</v>
      </c>
      <c r="K197" s="292">
        <v>0</v>
      </c>
      <c r="L197" s="291">
        <v>0</v>
      </c>
      <c r="M197" s="308">
        <f>N197</f>
        <v>6</v>
      </c>
      <c r="N197" s="293">
        <v>6</v>
      </c>
      <c r="O197" s="293">
        <v>0</v>
      </c>
      <c r="P197" s="297">
        <v>0</v>
      </c>
      <c r="Q197" s="309">
        <v>7.8</v>
      </c>
      <c r="R197" s="380">
        <v>7.8</v>
      </c>
      <c r="S197" s="1181" t="s">
        <v>330</v>
      </c>
      <c r="T197" s="310">
        <v>66</v>
      </c>
      <c r="U197" s="292">
        <v>66</v>
      </c>
      <c r="V197" s="393"/>
      <c r="W197" s="255"/>
    </row>
    <row r="198" spans="1:23" ht="17.25" hidden="1" customHeight="1" outlineLevel="1" x14ac:dyDescent="0.2">
      <c r="A198" s="1123"/>
      <c r="B198" s="1125"/>
      <c r="C198" s="1127"/>
      <c r="D198" s="1302"/>
      <c r="E198" s="1304"/>
      <c r="F198" s="299" t="s">
        <v>241</v>
      </c>
      <c r="G198" s="1364"/>
      <c r="H198" s="279" t="s">
        <v>13</v>
      </c>
      <c r="I198" s="287">
        <f>SUM(I197)</f>
        <v>7.8</v>
      </c>
      <c r="J198" s="288">
        <f t="shared" ref="J198:R198" si="60">SUM(J197)</f>
        <v>7.8</v>
      </c>
      <c r="K198" s="288">
        <f t="shared" si="60"/>
        <v>0</v>
      </c>
      <c r="L198" s="313">
        <f t="shared" si="60"/>
        <v>0</v>
      </c>
      <c r="M198" s="314">
        <f t="shared" si="60"/>
        <v>6</v>
      </c>
      <c r="N198" s="315">
        <f t="shared" si="60"/>
        <v>6</v>
      </c>
      <c r="O198" s="315">
        <f t="shared" si="60"/>
        <v>0</v>
      </c>
      <c r="P198" s="316">
        <f t="shared" si="60"/>
        <v>0</v>
      </c>
      <c r="Q198" s="317">
        <f t="shared" si="60"/>
        <v>7.8</v>
      </c>
      <c r="R198" s="388">
        <f t="shared" si="60"/>
        <v>7.8</v>
      </c>
      <c r="S198" s="1181"/>
      <c r="T198" s="287">
        <f>SUM(T197:T197)</f>
        <v>66</v>
      </c>
      <c r="U198" s="288">
        <f>SUM(U197:U197)</f>
        <v>66</v>
      </c>
      <c r="V198" s="289"/>
      <c r="W198" s="255"/>
    </row>
    <row r="199" spans="1:23" ht="17.25" hidden="1" customHeight="1" outlineLevel="1" x14ac:dyDescent="0.2">
      <c r="A199" s="1123" t="s">
        <v>17</v>
      </c>
      <c r="B199" s="1125" t="s">
        <v>18</v>
      </c>
      <c r="C199" s="1127" t="s">
        <v>331</v>
      </c>
      <c r="D199" s="1302" t="s">
        <v>327</v>
      </c>
      <c r="E199" s="1363" t="s">
        <v>328</v>
      </c>
      <c r="F199" s="320" t="s">
        <v>247</v>
      </c>
      <c r="G199" s="1364" t="s">
        <v>246</v>
      </c>
      <c r="H199" s="306" t="s">
        <v>224</v>
      </c>
      <c r="I199" s="310">
        <f>J199</f>
        <v>0</v>
      </c>
      <c r="J199" s="292">
        <v>0</v>
      </c>
      <c r="K199" s="292">
        <v>0</v>
      </c>
      <c r="L199" s="291">
        <v>0</v>
      </c>
      <c r="M199" s="308">
        <v>0</v>
      </c>
      <c r="N199" s="293">
        <v>0</v>
      </c>
      <c r="O199" s="293">
        <v>0</v>
      </c>
      <c r="P199" s="297">
        <v>0</v>
      </c>
      <c r="Q199" s="309">
        <v>0</v>
      </c>
      <c r="R199" s="380">
        <v>0</v>
      </c>
      <c r="S199" s="1181" t="s">
        <v>330</v>
      </c>
      <c r="T199" s="394">
        <v>123</v>
      </c>
      <c r="U199" s="395">
        <v>123</v>
      </c>
      <c r="V199" s="393"/>
      <c r="W199" s="255"/>
    </row>
    <row r="200" spans="1:23" ht="17.25" hidden="1" customHeight="1" outlineLevel="1" x14ac:dyDescent="0.2">
      <c r="A200" s="1359"/>
      <c r="B200" s="1362"/>
      <c r="C200" s="1128"/>
      <c r="D200" s="1381"/>
      <c r="E200" s="1304"/>
      <c r="F200" s="290" t="s">
        <v>332</v>
      </c>
      <c r="G200" s="1363"/>
      <c r="H200" s="392" t="s">
        <v>13</v>
      </c>
      <c r="I200" s="287">
        <f>SUM(I199)</f>
        <v>0</v>
      </c>
      <c r="J200" s="288">
        <f>SUM(J199)</f>
        <v>0</v>
      </c>
      <c r="K200" s="288">
        <f t="shared" ref="K200:R200" si="61">SUM(K199)</f>
        <v>0</v>
      </c>
      <c r="L200" s="313">
        <f t="shared" si="61"/>
        <v>0</v>
      </c>
      <c r="M200" s="314">
        <f t="shared" si="61"/>
        <v>0</v>
      </c>
      <c r="N200" s="315">
        <f t="shared" si="61"/>
        <v>0</v>
      </c>
      <c r="O200" s="315">
        <f t="shared" si="61"/>
        <v>0</v>
      </c>
      <c r="P200" s="316">
        <f t="shared" si="61"/>
        <v>0</v>
      </c>
      <c r="Q200" s="317">
        <f t="shared" si="61"/>
        <v>0</v>
      </c>
      <c r="R200" s="388">
        <f t="shared" si="61"/>
        <v>0</v>
      </c>
      <c r="S200" s="1181"/>
      <c r="T200" s="287">
        <f>SUM(T199:T199)</f>
        <v>123</v>
      </c>
      <c r="U200" s="288">
        <f>SUM(U199:U199)</f>
        <v>123</v>
      </c>
      <c r="V200" s="289"/>
      <c r="W200" s="255"/>
    </row>
    <row r="201" spans="1:23" ht="17.25" hidden="1" customHeight="1" outlineLevel="1" x14ac:dyDescent="0.2">
      <c r="A201" s="1123" t="s">
        <v>17</v>
      </c>
      <c r="B201" s="1125" t="s">
        <v>18</v>
      </c>
      <c r="C201" s="1127" t="s">
        <v>292</v>
      </c>
      <c r="D201" s="1302" t="s">
        <v>327</v>
      </c>
      <c r="E201" s="1363" t="s">
        <v>328</v>
      </c>
      <c r="F201" s="320" t="s">
        <v>252</v>
      </c>
      <c r="G201" s="1364" t="s">
        <v>251</v>
      </c>
      <c r="H201" s="306" t="s">
        <v>224</v>
      </c>
      <c r="I201" s="310">
        <f>J201</f>
        <v>15.7</v>
      </c>
      <c r="J201" s="292">
        <v>15.7</v>
      </c>
      <c r="K201" s="292">
        <v>0</v>
      </c>
      <c r="L201" s="291">
        <v>0</v>
      </c>
      <c r="M201" s="308">
        <f>N201</f>
        <v>12.7</v>
      </c>
      <c r="N201" s="293">
        <v>12.7</v>
      </c>
      <c r="O201" s="293">
        <v>0</v>
      </c>
      <c r="P201" s="297">
        <v>0</v>
      </c>
      <c r="Q201" s="309">
        <v>12</v>
      </c>
      <c r="R201" s="380">
        <v>10</v>
      </c>
      <c r="S201" s="1181" t="s">
        <v>330</v>
      </c>
      <c r="T201" s="310">
        <v>105</v>
      </c>
      <c r="U201" s="292">
        <v>105</v>
      </c>
      <c r="V201" s="393"/>
      <c r="W201" s="255"/>
    </row>
    <row r="202" spans="1:23" ht="17.25" hidden="1" customHeight="1" outlineLevel="1" x14ac:dyDescent="0.2">
      <c r="A202" s="1359"/>
      <c r="B202" s="1362"/>
      <c r="C202" s="1128"/>
      <c r="D202" s="1381"/>
      <c r="E202" s="1304"/>
      <c r="F202" s="290" t="s">
        <v>241</v>
      </c>
      <c r="G202" s="1363"/>
      <c r="H202" s="392" t="s">
        <v>13</v>
      </c>
      <c r="I202" s="287">
        <f>SUM(I201)</f>
        <v>15.7</v>
      </c>
      <c r="J202" s="288">
        <f t="shared" ref="J202:R202" si="62">SUM(J201)</f>
        <v>15.7</v>
      </c>
      <c r="K202" s="288">
        <f t="shared" si="62"/>
        <v>0</v>
      </c>
      <c r="L202" s="313">
        <f t="shared" si="62"/>
        <v>0</v>
      </c>
      <c r="M202" s="314">
        <f t="shared" si="62"/>
        <v>12.7</v>
      </c>
      <c r="N202" s="315">
        <f t="shared" si="62"/>
        <v>12.7</v>
      </c>
      <c r="O202" s="315">
        <f t="shared" si="62"/>
        <v>0</v>
      </c>
      <c r="P202" s="316">
        <f t="shared" si="62"/>
        <v>0</v>
      </c>
      <c r="Q202" s="317">
        <f t="shared" si="62"/>
        <v>12</v>
      </c>
      <c r="R202" s="388">
        <f t="shared" si="62"/>
        <v>10</v>
      </c>
      <c r="S202" s="1181"/>
      <c r="T202" s="287">
        <f>SUM(T201:T201)</f>
        <v>105</v>
      </c>
      <c r="U202" s="288">
        <f>SUM(U201:U201)</f>
        <v>105</v>
      </c>
      <c r="V202" s="289"/>
      <c r="W202" s="255"/>
    </row>
    <row r="203" spans="1:23" ht="17.25" hidden="1" customHeight="1" outlineLevel="1" x14ac:dyDescent="0.2">
      <c r="A203" s="1123" t="s">
        <v>17</v>
      </c>
      <c r="B203" s="1125" t="s">
        <v>18</v>
      </c>
      <c r="C203" s="1127" t="s">
        <v>296</v>
      </c>
      <c r="D203" s="1302" t="s">
        <v>327</v>
      </c>
      <c r="E203" s="1363" t="s">
        <v>328</v>
      </c>
      <c r="F203" s="320" t="s">
        <v>255</v>
      </c>
      <c r="G203" s="1364" t="s">
        <v>254</v>
      </c>
      <c r="H203" s="306" t="s">
        <v>224</v>
      </c>
      <c r="I203" s="310">
        <f>J203</f>
        <v>4</v>
      </c>
      <c r="J203" s="292">
        <v>4</v>
      </c>
      <c r="K203" s="292">
        <v>0</v>
      </c>
      <c r="L203" s="291">
        <v>0</v>
      </c>
      <c r="M203" s="308">
        <f>N203</f>
        <v>1.119</v>
      </c>
      <c r="N203" s="293">
        <v>1.119</v>
      </c>
      <c r="O203" s="293">
        <v>0</v>
      </c>
      <c r="P203" s="297">
        <v>0</v>
      </c>
      <c r="Q203" s="309">
        <v>4</v>
      </c>
      <c r="R203" s="380">
        <v>4</v>
      </c>
      <c r="S203" s="1181" t="s">
        <v>330</v>
      </c>
      <c r="T203" s="310">
        <v>43</v>
      </c>
      <c r="U203" s="292">
        <v>43</v>
      </c>
      <c r="V203" s="393"/>
      <c r="W203" s="255"/>
    </row>
    <row r="204" spans="1:23" ht="17.25" hidden="1" customHeight="1" outlineLevel="1" x14ac:dyDescent="0.2">
      <c r="A204" s="1359"/>
      <c r="B204" s="1362"/>
      <c r="C204" s="1128"/>
      <c r="D204" s="1381"/>
      <c r="E204" s="1304"/>
      <c r="F204" s="290" t="s">
        <v>241</v>
      </c>
      <c r="G204" s="1363"/>
      <c r="H204" s="392" t="s">
        <v>13</v>
      </c>
      <c r="I204" s="287">
        <f>SUM(I203)</f>
        <v>4</v>
      </c>
      <c r="J204" s="288">
        <f t="shared" ref="J204:R204" si="63">SUM(J203)</f>
        <v>4</v>
      </c>
      <c r="K204" s="288">
        <f t="shared" si="63"/>
        <v>0</v>
      </c>
      <c r="L204" s="313">
        <f t="shared" si="63"/>
        <v>0</v>
      </c>
      <c r="M204" s="314">
        <f t="shared" si="63"/>
        <v>1.119</v>
      </c>
      <c r="N204" s="315">
        <f t="shared" si="63"/>
        <v>1.119</v>
      </c>
      <c r="O204" s="315">
        <f t="shared" si="63"/>
        <v>0</v>
      </c>
      <c r="P204" s="316">
        <f t="shared" si="63"/>
        <v>0</v>
      </c>
      <c r="Q204" s="317">
        <f t="shared" si="63"/>
        <v>4</v>
      </c>
      <c r="R204" s="388">
        <f t="shared" si="63"/>
        <v>4</v>
      </c>
      <c r="S204" s="1181"/>
      <c r="T204" s="287">
        <f>SUM(T203:T203)</f>
        <v>43</v>
      </c>
      <c r="U204" s="288">
        <f>SUM(U203:U203)</f>
        <v>43</v>
      </c>
      <c r="V204" s="289"/>
      <c r="W204" s="255"/>
    </row>
    <row r="205" spans="1:23" ht="17.25" hidden="1" customHeight="1" outlineLevel="1" x14ac:dyDescent="0.2">
      <c r="A205" s="1123" t="s">
        <v>17</v>
      </c>
      <c r="B205" s="1125" t="s">
        <v>18</v>
      </c>
      <c r="C205" s="1127" t="s">
        <v>296</v>
      </c>
      <c r="D205" s="1302" t="s">
        <v>327</v>
      </c>
      <c r="E205" s="1363" t="s">
        <v>328</v>
      </c>
      <c r="F205" s="320" t="s">
        <v>258</v>
      </c>
      <c r="G205" s="1364" t="s">
        <v>257</v>
      </c>
      <c r="H205" s="306" t="s">
        <v>224</v>
      </c>
      <c r="I205" s="310">
        <f>J205</f>
        <v>0</v>
      </c>
      <c r="J205" s="292">
        <v>0</v>
      </c>
      <c r="K205" s="292">
        <v>0</v>
      </c>
      <c r="L205" s="291">
        <v>0</v>
      </c>
      <c r="M205" s="308">
        <f>N205</f>
        <v>0</v>
      </c>
      <c r="N205" s="293">
        <v>0</v>
      </c>
      <c r="O205" s="293">
        <v>0</v>
      </c>
      <c r="P205" s="297">
        <v>0</v>
      </c>
      <c r="Q205" s="309">
        <v>0</v>
      </c>
      <c r="R205" s="380">
        <v>0</v>
      </c>
      <c r="S205" s="1181" t="s">
        <v>330</v>
      </c>
      <c r="T205" s="394">
        <v>17</v>
      </c>
      <c r="U205" s="395">
        <v>17</v>
      </c>
      <c r="V205" s="393"/>
      <c r="W205" s="255"/>
    </row>
    <row r="206" spans="1:23" ht="17.25" hidden="1" customHeight="1" outlineLevel="1" x14ac:dyDescent="0.2">
      <c r="A206" s="1359"/>
      <c r="B206" s="1362"/>
      <c r="C206" s="1128"/>
      <c r="D206" s="1381"/>
      <c r="E206" s="1304"/>
      <c r="F206" s="290" t="s">
        <v>241</v>
      </c>
      <c r="G206" s="1363"/>
      <c r="H206" s="392" t="s">
        <v>13</v>
      </c>
      <c r="I206" s="287">
        <f t="shared" ref="I206:R206" si="64">SUM(I205)</f>
        <v>0</v>
      </c>
      <c r="J206" s="288">
        <f t="shared" si="64"/>
        <v>0</v>
      </c>
      <c r="K206" s="288">
        <f t="shared" si="64"/>
        <v>0</v>
      </c>
      <c r="L206" s="313">
        <f t="shared" si="64"/>
        <v>0</v>
      </c>
      <c r="M206" s="314">
        <f t="shared" si="64"/>
        <v>0</v>
      </c>
      <c r="N206" s="315">
        <f t="shared" si="64"/>
        <v>0</v>
      </c>
      <c r="O206" s="315">
        <f t="shared" si="64"/>
        <v>0</v>
      </c>
      <c r="P206" s="316">
        <f t="shared" si="64"/>
        <v>0</v>
      </c>
      <c r="Q206" s="317">
        <f t="shared" si="64"/>
        <v>0</v>
      </c>
      <c r="R206" s="388">
        <f t="shared" si="64"/>
        <v>0</v>
      </c>
      <c r="S206" s="1181"/>
      <c r="T206" s="287">
        <f>SUM(T205:T205)</f>
        <v>17</v>
      </c>
      <c r="U206" s="288">
        <f>SUM(U205:U205)</f>
        <v>17</v>
      </c>
      <c r="V206" s="289"/>
      <c r="W206" s="255"/>
    </row>
    <row r="207" spans="1:23" ht="17.25" hidden="1" customHeight="1" outlineLevel="1" x14ac:dyDescent="0.2">
      <c r="A207" s="1123" t="s">
        <v>17</v>
      </c>
      <c r="B207" s="1125" t="s">
        <v>18</v>
      </c>
      <c r="C207" s="1127" t="s">
        <v>298</v>
      </c>
      <c r="D207" s="1302" t="s">
        <v>327</v>
      </c>
      <c r="E207" s="1363" t="s">
        <v>328</v>
      </c>
      <c r="F207" s="320" t="s">
        <v>333</v>
      </c>
      <c r="G207" s="1364" t="s">
        <v>260</v>
      </c>
      <c r="H207" s="306" t="s">
        <v>224</v>
      </c>
      <c r="I207" s="310">
        <f>J207</f>
        <v>10.6</v>
      </c>
      <c r="J207" s="292">
        <v>10.6</v>
      </c>
      <c r="K207" s="292">
        <v>0</v>
      </c>
      <c r="L207" s="291">
        <v>0</v>
      </c>
      <c r="M207" s="308">
        <f>N207</f>
        <v>10.6</v>
      </c>
      <c r="N207" s="293">
        <v>10.6</v>
      </c>
      <c r="O207" s="293">
        <v>0</v>
      </c>
      <c r="P207" s="297">
        <v>0</v>
      </c>
      <c r="Q207" s="309">
        <v>11</v>
      </c>
      <c r="R207" s="380">
        <v>11.5</v>
      </c>
      <c r="S207" s="1181" t="s">
        <v>330</v>
      </c>
      <c r="T207" s="310">
        <v>85</v>
      </c>
      <c r="U207" s="292">
        <v>85</v>
      </c>
      <c r="V207" s="393"/>
      <c r="W207" s="255"/>
    </row>
    <row r="208" spans="1:23" ht="17.25" hidden="1" customHeight="1" outlineLevel="1" x14ac:dyDescent="0.2">
      <c r="A208" s="1359"/>
      <c r="B208" s="1362"/>
      <c r="C208" s="1128"/>
      <c r="D208" s="1381"/>
      <c r="E208" s="1304"/>
      <c r="F208" s="290" t="s">
        <v>241</v>
      </c>
      <c r="G208" s="1363"/>
      <c r="H208" s="392" t="s">
        <v>13</v>
      </c>
      <c r="I208" s="287">
        <f>SUM(I207)</f>
        <v>10.6</v>
      </c>
      <c r="J208" s="288">
        <f t="shared" ref="J208:R208" si="65">SUM(J207)</f>
        <v>10.6</v>
      </c>
      <c r="K208" s="288">
        <f t="shared" si="65"/>
        <v>0</v>
      </c>
      <c r="L208" s="313">
        <f t="shared" si="65"/>
        <v>0</v>
      </c>
      <c r="M208" s="314">
        <f t="shared" si="65"/>
        <v>10.6</v>
      </c>
      <c r="N208" s="315">
        <f t="shared" si="65"/>
        <v>10.6</v>
      </c>
      <c r="O208" s="315">
        <f t="shared" si="65"/>
        <v>0</v>
      </c>
      <c r="P208" s="316">
        <f t="shared" si="65"/>
        <v>0</v>
      </c>
      <c r="Q208" s="317">
        <f t="shared" si="65"/>
        <v>11</v>
      </c>
      <c r="R208" s="388">
        <f t="shared" si="65"/>
        <v>11.5</v>
      </c>
      <c r="S208" s="1181"/>
      <c r="T208" s="287">
        <f>SUM(T207:T207)</f>
        <v>85</v>
      </c>
      <c r="U208" s="288">
        <f>SUM(U207:U207)</f>
        <v>85</v>
      </c>
      <c r="V208" s="289"/>
      <c r="W208" s="255"/>
    </row>
    <row r="209" spans="1:23" ht="17.25" hidden="1" customHeight="1" outlineLevel="1" x14ac:dyDescent="0.2">
      <c r="A209" s="1123" t="s">
        <v>17</v>
      </c>
      <c r="B209" s="1125" t="s">
        <v>18</v>
      </c>
      <c r="C209" s="1127" t="s">
        <v>300</v>
      </c>
      <c r="D209" s="1302" t="s">
        <v>327</v>
      </c>
      <c r="E209" s="1363" t="s">
        <v>328</v>
      </c>
      <c r="F209" s="320" t="s">
        <v>264</v>
      </c>
      <c r="G209" s="1364" t="s">
        <v>263</v>
      </c>
      <c r="H209" s="306" t="s">
        <v>224</v>
      </c>
      <c r="I209" s="310">
        <f>J209+L209</f>
        <v>7.6</v>
      </c>
      <c r="J209" s="292">
        <v>7.6</v>
      </c>
      <c r="K209" s="292">
        <v>0</v>
      </c>
      <c r="L209" s="291">
        <v>0</v>
      </c>
      <c r="M209" s="308">
        <f>N209</f>
        <v>6.5</v>
      </c>
      <c r="N209" s="293">
        <v>6.5</v>
      </c>
      <c r="O209" s="293">
        <v>0</v>
      </c>
      <c r="P209" s="297">
        <v>0</v>
      </c>
      <c r="Q209" s="309">
        <v>7.7</v>
      </c>
      <c r="R209" s="380">
        <v>7.8</v>
      </c>
      <c r="S209" s="1181" t="s">
        <v>330</v>
      </c>
      <c r="T209" s="310">
        <v>60</v>
      </c>
      <c r="U209" s="292">
        <v>60</v>
      </c>
      <c r="V209" s="393"/>
      <c r="W209" s="255"/>
    </row>
    <row r="210" spans="1:23" ht="17.25" hidden="1" customHeight="1" outlineLevel="1" x14ac:dyDescent="0.2">
      <c r="A210" s="1359"/>
      <c r="B210" s="1362"/>
      <c r="C210" s="1128"/>
      <c r="D210" s="1381"/>
      <c r="E210" s="1304"/>
      <c r="F210" s="290" t="s">
        <v>241</v>
      </c>
      <c r="G210" s="1363"/>
      <c r="H210" s="392" t="s">
        <v>13</v>
      </c>
      <c r="I210" s="287">
        <f>SUM(I209)</f>
        <v>7.6</v>
      </c>
      <c r="J210" s="288">
        <f t="shared" ref="J210:R210" si="66">SUM(J209)</f>
        <v>7.6</v>
      </c>
      <c r="K210" s="288">
        <f t="shared" si="66"/>
        <v>0</v>
      </c>
      <c r="L210" s="313">
        <f t="shared" si="66"/>
        <v>0</v>
      </c>
      <c r="M210" s="314">
        <f t="shared" si="66"/>
        <v>6.5</v>
      </c>
      <c r="N210" s="315">
        <f t="shared" si="66"/>
        <v>6.5</v>
      </c>
      <c r="O210" s="315">
        <f t="shared" si="66"/>
        <v>0</v>
      </c>
      <c r="P210" s="316">
        <f t="shared" si="66"/>
        <v>0</v>
      </c>
      <c r="Q210" s="317">
        <f t="shared" si="66"/>
        <v>7.7</v>
      </c>
      <c r="R210" s="388">
        <f t="shared" si="66"/>
        <v>7.8</v>
      </c>
      <c r="S210" s="1181"/>
      <c r="T210" s="287">
        <f>SUM(T209:T209)</f>
        <v>60</v>
      </c>
      <c r="U210" s="288">
        <f>SUM(U209:U209)</f>
        <v>60</v>
      </c>
      <c r="V210" s="289"/>
      <c r="W210" s="255"/>
    </row>
    <row r="211" spans="1:23" ht="17.25" hidden="1" customHeight="1" outlineLevel="1" x14ac:dyDescent="0.2">
      <c r="A211" s="1123" t="s">
        <v>17</v>
      </c>
      <c r="B211" s="1125" t="s">
        <v>18</v>
      </c>
      <c r="C211" s="1127" t="s">
        <v>334</v>
      </c>
      <c r="D211" s="1302" t="s">
        <v>327</v>
      </c>
      <c r="E211" s="1363" t="s">
        <v>328</v>
      </c>
      <c r="F211" s="320" t="s">
        <v>267</v>
      </c>
      <c r="G211" s="1364" t="s">
        <v>266</v>
      </c>
      <c r="H211" s="306" t="s">
        <v>224</v>
      </c>
      <c r="I211" s="310">
        <f>J211</f>
        <v>0.5</v>
      </c>
      <c r="J211" s="292">
        <v>0.5</v>
      </c>
      <c r="K211" s="292">
        <v>0</v>
      </c>
      <c r="L211" s="291">
        <v>0</v>
      </c>
      <c r="M211" s="308">
        <f>N211</f>
        <v>0.312</v>
      </c>
      <c r="N211" s="293">
        <v>0.312</v>
      </c>
      <c r="O211" s="293">
        <v>0</v>
      </c>
      <c r="P211" s="297">
        <v>0</v>
      </c>
      <c r="Q211" s="309">
        <v>0.5</v>
      </c>
      <c r="R211" s="380">
        <v>0.5</v>
      </c>
      <c r="S211" s="1181" t="s">
        <v>330</v>
      </c>
      <c r="T211" s="310">
        <v>18</v>
      </c>
      <c r="U211" s="292">
        <v>18</v>
      </c>
      <c r="V211" s="393"/>
      <c r="W211" s="255"/>
    </row>
    <row r="212" spans="1:23" ht="17.25" hidden="1" customHeight="1" outlineLevel="1" x14ac:dyDescent="0.2">
      <c r="A212" s="1359"/>
      <c r="B212" s="1362"/>
      <c r="C212" s="1128"/>
      <c r="D212" s="1381"/>
      <c r="E212" s="1304"/>
      <c r="F212" s="290" t="s">
        <v>241</v>
      </c>
      <c r="G212" s="1363"/>
      <c r="H212" s="392" t="s">
        <v>13</v>
      </c>
      <c r="I212" s="287">
        <f>SUM(I211)</f>
        <v>0.5</v>
      </c>
      <c r="J212" s="288">
        <f t="shared" ref="J212:R212" si="67">SUM(J211)</f>
        <v>0.5</v>
      </c>
      <c r="K212" s="288">
        <f t="shared" si="67"/>
        <v>0</v>
      </c>
      <c r="L212" s="313">
        <f t="shared" si="67"/>
        <v>0</v>
      </c>
      <c r="M212" s="314">
        <f t="shared" si="67"/>
        <v>0.312</v>
      </c>
      <c r="N212" s="315">
        <f t="shared" si="67"/>
        <v>0.312</v>
      </c>
      <c r="O212" s="315">
        <f t="shared" si="67"/>
        <v>0</v>
      </c>
      <c r="P212" s="316">
        <f t="shared" si="67"/>
        <v>0</v>
      </c>
      <c r="Q212" s="317">
        <f t="shared" si="67"/>
        <v>0.5</v>
      </c>
      <c r="R212" s="388">
        <f t="shared" si="67"/>
        <v>0.5</v>
      </c>
      <c r="S212" s="1181"/>
      <c r="T212" s="287">
        <f>SUM(T211:T211)</f>
        <v>18</v>
      </c>
      <c r="U212" s="288">
        <f>SUM(U211:U211)</f>
        <v>18</v>
      </c>
      <c r="V212" s="289"/>
      <c r="W212" s="255"/>
    </row>
    <row r="213" spans="1:23" ht="17.25" hidden="1" customHeight="1" outlineLevel="1" x14ac:dyDescent="0.2">
      <c r="A213" s="1123" t="s">
        <v>17</v>
      </c>
      <c r="B213" s="1125" t="s">
        <v>18</v>
      </c>
      <c r="C213" s="1127" t="s">
        <v>335</v>
      </c>
      <c r="D213" s="1302" t="s">
        <v>327</v>
      </c>
      <c r="E213" s="1363" t="s">
        <v>328</v>
      </c>
      <c r="F213" s="320" t="s">
        <v>236</v>
      </c>
      <c r="G213" s="1364" t="s">
        <v>336</v>
      </c>
      <c r="H213" s="306" t="s">
        <v>224</v>
      </c>
      <c r="I213" s="310">
        <f>J213</f>
        <v>3</v>
      </c>
      <c r="J213" s="292">
        <v>3</v>
      </c>
      <c r="K213" s="292">
        <v>0</v>
      </c>
      <c r="L213" s="291">
        <v>0</v>
      </c>
      <c r="M213" s="308">
        <f>N213</f>
        <v>3</v>
      </c>
      <c r="N213" s="293">
        <v>3</v>
      </c>
      <c r="O213" s="293">
        <v>0</v>
      </c>
      <c r="P213" s="297">
        <v>0</v>
      </c>
      <c r="Q213" s="309">
        <v>3</v>
      </c>
      <c r="R213" s="380">
        <v>3</v>
      </c>
      <c r="S213" s="1181" t="s">
        <v>330</v>
      </c>
      <c r="T213" s="310">
        <v>40</v>
      </c>
      <c r="U213" s="292">
        <v>40</v>
      </c>
      <c r="V213" s="393"/>
      <c r="W213" s="255"/>
    </row>
    <row r="214" spans="1:23" ht="17.25" hidden="1" customHeight="1" outlineLevel="1" x14ac:dyDescent="0.2">
      <c r="A214" s="1359"/>
      <c r="B214" s="1362"/>
      <c r="C214" s="1128"/>
      <c r="D214" s="1381"/>
      <c r="E214" s="1304"/>
      <c r="F214" s="290" t="s">
        <v>337</v>
      </c>
      <c r="G214" s="1363"/>
      <c r="H214" s="392" t="s">
        <v>13</v>
      </c>
      <c r="I214" s="287">
        <f>SUM(I213)</f>
        <v>3</v>
      </c>
      <c r="J214" s="288">
        <f t="shared" ref="J214:R214" si="68">SUM(J213)</f>
        <v>3</v>
      </c>
      <c r="K214" s="288">
        <f t="shared" si="68"/>
        <v>0</v>
      </c>
      <c r="L214" s="313">
        <f t="shared" si="68"/>
        <v>0</v>
      </c>
      <c r="M214" s="314">
        <f t="shared" si="68"/>
        <v>3</v>
      </c>
      <c r="N214" s="315">
        <v>1</v>
      </c>
      <c r="O214" s="315">
        <f t="shared" si="68"/>
        <v>0</v>
      </c>
      <c r="P214" s="316">
        <f t="shared" si="68"/>
        <v>0</v>
      </c>
      <c r="Q214" s="317">
        <f t="shared" si="68"/>
        <v>3</v>
      </c>
      <c r="R214" s="388">
        <f t="shared" si="68"/>
        <v>3</v>
      </c>
      <c r="S214" s="1181"/>
      <c r="T214" s="287">
        <f>SUM(T213:T213)</f>
        <v>40</v>
      </c>
      <c r="U214" s="288">
        <f>SUM(U213:U213)</f>
        <v>40</v>
      </c>
      <c r="V214" s="289"/>
      <c r="W214" s="255"/>
    </row>
    <row r="215" spans="1:23" ht="17.25" hidden="1" customHeight="1" outlineLevel="1" x14ac:dyDescent="0.2">
      <c r="A215" s="1123" t="s">
        <v>17</v>
      </c>
      <c r="B215" s="1125" t="s">
        <v>18</v>
      </c>
      <c r="C215" s="1127" t="s">
        <v>335</v>
      </c>
      <c r="D215" s="1302" t="s">
        <v>327</v>
      </c>
      <c r="E215" s="1363" t="s">
        <v>328</v>
      </c>
      <c r="F215" s="320" t="s">
        <v>271</v>
      </c>
      <c r="G215" s="1364" t="s">
        <v>270</v>
      </c>
      <c r="H215" s="306" t="s">
        <v>224</v>
      </c>
      <c r="I215" s="310">
        <f>J215</f>
        <v>0</v>
      </c>
      <c r="J215" s="292">
        <v>0</v>
      </c>
      <c r="K215" s="292">
        <v>0</v>
      </c>
      <c r="L215" s="291">
        <v>0</v>
      </c>
      <c r="M215" s="308">
        <f>N215</f>
        <v>0</v>
      </c>
      <c r="N215" s="293">
        <v>0</v>
      </c>
      <c r="O215" s="293">
        <v>0</v>
      </c>
      <c r="P215" s="297">
        <v>0</v>
      </c>
      <c r="Q215" s="309">
        <v>0</v>
      </c>
      <c r="R215" s="380">
        <v>0</v>
      </c>
      <c r="S215" s="1181" t="s">
        <v>330</v>
      </c>
      <c r="T215" s="394">
        <v>2</v>
      </c>
      <c r="U215" s="395">
        <v>2</v>
      </c>
      <c r="V215" s="393"/>
      <c r="W215" s="255"/>
    </row>
    <row r="216" spans="1:23" ht="17.25" hidden="1" customHeight="1" outlineLevel="1" x14ac:dyDescent="0.2">
      <c r="A216" s="1359"/>
      <c r="B216" s="1362"/>
      <c r="C216" s="1128"/>
      <c r="D216" s="1381"/>
      <c r="E216" s="1304"/>
      <c r="F216" s="290" t="s">
        <v>272</v>
      </c>
      <c r="G216" s="1363"/>
      <c r="H216" s="392" t="s">
        <v>13</v>
      </c>
      <c r="I216" s="287">
        <f>SUM(I215)</f>
        <v>0</v>
      </c>
      <c r="J216" s="288">
        <f>SUM(J215)</f>
        <v>0</v>
      </c>
      <c r="K216" s="288">
        <f>SUM(K215)</f>
        <v>0</v>
      </c>
      <c r="L216" s="313">
        <f>SUM(L215)</f>
        <v>0</v>
      </c>
      <c r="M216" s="314">
        <f>SUM(M215)</f>
        <v>0</v>
      </c>
      <c r="N216" s="315">
        <v>1</v>
      </c>
      <c r="O216" s="315">
        <f>SUM(O215)</f>
        <v>0</v>
      </c>
      <c r="P216" s="316">
        <f>SUM(P215)</f>
        <v>0</v>
      </c>
      <c r="Q216" s="317">
        <f>SUM(Q215)</f>
        <v>0</v>
      </c>
      <c r="R216" s="388">
        <f>SUM(R215)</f>
        <v>0</v>
      </c>
      <c r="S216" s="1181"/>
      <c r="T216" s="287">
        <f>SUM(T215:T215)</f>
        <v>2</v>
      </c>
      <c r="U216" s="288">
        <f>SUM(U215:U215)</f>
        <v>2</v>
      </c>
      <c r="V216" s="289"/>
      <c r="W216" s="255"/>
    </row>
    <row r="217" spans="1:23" ht="17.25" hidden="1" customHeight="1" outlineLevel="1" x14ac:dyDescent="0.2">
      <c r="A217" s="1123" t="s">
        <v>17</v>
      </c>
      <c r="B217" s="1125" t="s">
        <v>18</v>
      </c>
      <c r="C217" s="1127" t="s">
        <v>338</v>
      </c>
      <c r="D217" s="1302" t="s">
        <v>327</v>
      </c>
      <c r="E217" s="1363" t="s">
        <v>328</v>
      </c>
      <c r="F217" s="320" t="s">
        <v>247</v>
      </c>
      <c r="G217" s="1425" t="s">
        <v>21</v>
      </c>
      <c r="H217" s="306" t="s">
        <v>224</v>
      </c>
      <c r="I217" s="310">
        <f>J217</f>
        <v>1</v>
      </c>
      <c r="J217" s="292">
        <v>1</v>
      </c>
      <c r="K217" s="292">
        <v>0</v>
      </c>
      <c r="L217" s="291">
        <v>0</v>
      </c>
      <c r="M217" s="308">
        <f>N217</f>
        <v>1</v>
      </c>
      <c r="N217" s="293">
        <v>1</v>
      </c>
      <c r="O217" s="293">
        <v>0</v>
      </c>
      <c r="P217" s="297">
        <v>0</v>
      </c>
      <c r="Q217" s="309">
        <v>1</v>
      </c>
      <c r="R217" s="380">
        <v>1</v>
      </c>
      <c r="S217" s="1181" t="s">
        <v>330</v>
      </c>
      <c r="T217" s="310">
        <v>20</v>
      </c>
      <c r="U217" s="292">
        <v>20</v>
      </c>
      <c r="V217" s="393"/>
      <c r="W217" s="255"/>
    </row>
    <row r="218" spans="1:23" ht="17.25" hidden="1" customHeight="1" outlineLevel="1" x14ac:dyDescent="0.2">
      <c r="A218" s="1359"/>
      <c r="B218" s="1362"/>
      <c r="C218" s="1128"/>
      <c r="D218" s="1381"/>
      <c r="E218" s="1304"/>
      <c r="F218" s="290" t="s">
        <v>339</v>
      </c>
      <c r="G218" s="1421"/>
      <c r="H218" s="392" t="s">
        <v>13</v>
      </c>
      <c r="I218" s="287">
        <f>SUM(I217)</f>
        <v>1</v>
      </c>
      <c r="J218" s="288">
        <f t="shared" ref="J218:R218" si="69">SUM(J217)</f>
        <v>1</v>
      </c>
      <c r="K218" s="288">
        <f t="shared" si="69"/>
        <v>0</v>
      </c>
      <c r="L218" s="313">
        <f t="shared" si="69"/>
        <v>0</v>
      </c>
      <c r="M218" s="314">
        <f t="shared" si="69"/>
        <v>1</v>
      </c>
      <c r="N218" s="315">
        <f t="shared" si="69"/>
        <v>1</v>
      </c>
      <c r="O218" s="315">
        <f t="shared" si="69"/>
        <v>0</v>
      </c>
      <c r="P218" s="316">
        <f t="shared" si="69"/>
        <v>0</v>
      </c>
      <c r="Q218" s="317">
        <f t="shared" si="69"/>
        <v>1</v>
      </c>
      <c r="R218" s="388">
        <f t="shared" si="69"/>
        <v>1</v>
      </c>
      <c r="S218" s="1181"/>
      <c r="T218" s="287">
        <f>SUM(T217:T217)</f>
        <v>20</v>
      </c>
      <c r="U218" s="288">
        <f>SUM(U217:U217)</f>
        <v>20</v>
      </c>
      <c r="V218" s="289"/>
      <c r="W218" s="255"/>
    </row>
    <row r="219" spans="1:23" s="399" customFormat="1" ht="14.25" customHeight="1" collapsed="1" x14ac:dyDescent="0.2">
      <c r="A219" s="1408" t="s">
        <v>17</v>
      </c>
      <c r="B219" s="1411" t="s">
        <v>18</v>
      </c>
      <c r="C219" s="1414">
        <v>3</v>
      </c>
      <c r="D219" s="1302" t="s">
        <v>340</v>
      </c>
      <c r="E219" s="1418" t="s">
        <v>238</v>
      </c>
      <c r="F219" s="396"/>
      <c r="G219" s="1421" t="s">
        <v>336</v>
      </c>
      <c r="H219" s="397" t="s">
        <v>222</v>
      </c>
      <c r="I219" s="310">
        <f t="shared" ref="I219:I225" si="70">J219+L219</f>
        <v>165</v>
      </c>
      <c r="J219" s="292">
        <v>165</v>
      </c>
      <c r="K219" s="292">
        <v>124.1</v>
      </c>
      <c r="L219" s="291">
        <v>0</v>
      </c>
      <c r="M219" s="308">
        <f>N219+P219</f>
        <v>181.7</v>
      </c>
      <c r="N219" s="293">
        <v>181.7</v>
      </c>
      <c r="O219" s="293">
        <v>136.9</v>
      </c>
      <c r="P219" s="297">
        <v>0</v>
      </c>
      <c r="Q219" s="309">
        <v>165</v>
      </c>
      <c r="R219" s="380">
        <v>165</v>
      </c>
      <c r="S219" s="1193" t="s">
        <v>341</v>
      </c>
      <c r="T219" s="1426">
        <v>54</v>
      </c>
      <c r="U219" s="1429">
        <v>54</v>
      </c>
      <c r="V219" s="1432"/>
      <c r="W219" s="398"/>
    </row>
    <row r="220" spans="1:23" s="399" customFormat="1" ht="14.25" customHeight="1" x14ac:dyDescent="0.2">
      <c r="A220" s="1409"/>
      <c r="B220" s="1412"/>
      <c r="C220" s="1415"/>
      <c r="D220" s="1381"/>
      <c r="E220" s="1419"/>
      <c r="F220" s="400" t="s">
        <v>236</v>
      </c>
      <c r="G220" s="1422"/>
      <c r="H220" s="401" t="s">
        <v>224</v>
      </c>
      <c r="I220" s="310">
        <f t="shared" si="70"/>
        <v>0</v>
      </c>
      <c r="J220" s="292">
        <v>0</v>
      </c>
      <c r="K220" s="292">
        <v>0</v>
      </c>
      <c r="L220" s="291">
        <v>0</v>
      </c>
      <c r="M220" s="308">
        <f>N220</f>
        <v>0</v>
      </c>
      <c r="N220" s="293">
        <v>0</v>
      </c>
      <c r="O220" s="293">
        <v>0</v>
      </c>
      <c r="P220" s="297">
        <v>0</v>
      </c>
      <c r="Q220" s="309">
        <v>0</v>
      </c>
      <c r="R220" s="380">
        <v>0</v>
      </c>
      <c r="S220" s="1193"/>
      <c r="T220" s="1427"/>
      <c r="U220" s="1430"/>
      <c r="V220" s="1433"/>
      <c r="W220" s="398"/>
    </row>
    <row r="221" spans="1:23" s="399" customFormat="1" ht="14.25" customHeight="1" x14ac:dyDescent="0.2">
      <c r="A221" s="1409"/>
      <c r="B221" s="1412"/>
      <c r="C221" s="1415"/>
      <c r="D221" s="1381"/>
      <c r="E221" s="1419"/>
      <c r="F221" s="400" t="s">
        <v>342</v>
      </c>
      <c r="G221" s="1422"/>
      <c r="H221" s="401" t="s">
        <v>343</v>
      </c>
      <c r="I221" s="310">
        <f t="shared" si="70"/>
        <v>275</v>
      </c>
      <c r="J221" s="292">
        <v>275</v>
      </c>
      <c r="K221" s="292">
        <v>169.4</v>
      </c>
      <c r="L221" s="291">
        <v>0</v>
      </c>
      <c r="M221" s="308">
        <f>N221+P221</f>
        <v>284.5</v>
      </c>
      <c r="N221" s="293">
        <v>284.5</v>
      </c>
      <c r="O221" s="293">
        <v>178.1</v>
      </c>
      <c r="P221" s="297">
        <v>0</v>
      </c>
      <c r="Q221" s="309">
        <v>275</v>
      </c>
      <c r="R221" s="380">
        <v>275</v>
      </c>
      <c r="S221" s="1193"/>
      <c r="T221" s="1427"/>
      <c r="U221" s="1430"/>
      <c r="V221" s="1433"/>
      <c r="W221" s="398"/>
    </row>
    <row r="222" spans="1:23" s="399" customFormat="1" ht="14.25" customHeight="1" x14ac:dyDescent="0.2">
      <c r="A222" s="1409"/>
      <c r="B222" s="1412"/>
      <c r="C222" s="1415"/>
      <c r="D222" s="1381"/>
      <c r="E222" s="1419"/>
      <c r="F222" s="400" t="s">
        <v>281</v>
      </c>
      <c r="G222" s="1422"/>
      <c r="H222" s="401" t="s">
        <v>226</v>
      </c>
      <c r="I222" s="310">
        <f t="shared" si="70"/>
        <v>0.3</v>
      </c>
      <c r="J222" s="292">
        <v>0.3</v>
      </c>
      <c r="K222" s="292">
        <v>0</v>
      </c>
      <c r="L222" s="291">
        <v>0</v>
      </c>
      <c r="M222" s="308">
        <f>N222+P222</f>
        <v>4.7</v>
      </c>
      <c r="N222" s="293">
        <v>4.7</v>
      </c>
      <c r="O222" s="293">
        <v>0</v>
      </c>
      <c r="P222" s="297">
        <v>0</v>
      </c>
      <c r="Q222" s="309">
        <v>0.3</v>
      </c>
      <c r="R222" s="380">
        <v>0.3</v>
      </c>
      <c r="S222" s="1193"/>
      <c r="T222" s="1427"/>
      <c r="U222" s="1430"/>
      <c r="V222" s="1433"/>
      <c r="W222" s="398"/>
    </row>
    <row r="223" spans="1:23" s="399" customFormat="1" ht="14.25" customHeight="1" x14ac:dyDescent="0.2">
      <c r="A223" s="1409"/>
      <c r="B223" s="1412"/>
      <c r="C223" s="1415"/>
      <c r="D223" s="1381"/>
      <c r="E223" s="1419"/>
      <c r="F223" s="402" t="s">
        <v>227</v>
      </c>
      <c r="G223" s="1422"/>
      <c r="H223" s="401" t="s">
        <v>73</v>
      </c>
      <c r="I223" s="403">
        <f t="shared" si="70"/>
        <v>0</v>
      </c>
      <c r="J223" s="404">
        <v>0</v>
      </c>
      <c r="K223" s="404">
        <v>0</v>
      </c>
      <c r="L223" s="405">
        <v>0</v>
      </c>
      <c r="M223" s="406">
        <f>N223+P223</f>
        <v>4.9000000000000004</v>
      </c>
      <c r="N223" s="407">
        <v>4.9000000000000004</v>
      </c>
      <c r="O223" s="407">
        <v>3.7</v>
      </c>
      <c r="P223" s="408">
        <v>0</v>
      </c>
      <c r="Q223" s="409">
        <v>0</v>
      </c>
      <c r="R223" s="410">
        <v>0</v>
      </c>
      <c r="S223" s="1156"/>
      <c r="T223" s="1427"/>
      <c r="U223" s="1430"/>
      <c r="V223" s="1433"/>
      <c r="W223" s="398"/>
    </row>
    <row r="224" spans="1:23" s="399" customFormat="1" ht="14.25" customHeight="1" x14ac:dyDescent="0.2">
      <c r="A224" s="1409"/>
      <c r="B224" s="1412"/>
      <c r="C224" s="1415"/>
      <c r="D224" s="1381"/>
      <c r="E224" s="1419"/>
      <c r="F224" s="400"/>
      <c r="G224" s="1422"/>
      <c r="H224" s="401" t="s">
        <v>73</v>
      </c>
      <c r="I224" s="403">
        <f t="shared" si="70"/>
        <v>0</v>
      </c>
      <c r="J224" s="404">
        <v>0</v>
      </c>
      <c r="K224" s="404">
        <v>0</v>
      </c>
      <c r="L224" s="405">
        <v>0</v>
      </c>
      <c r="M224" s="406">
        <f>N224+P224</f>
        <v>0</v>
      </c>
      <c r="N224" s="407">
        <v>0</v>
      </c>
      <c r="O224" s="407">
        <v>0</v>
      </c>
      <c r="P224" s="408">
        <v>0</v>
      </c>
      <c r="Q224" s="409">
        <v>0</v>
      </c>
      <c r="R224" s="410">
        <v>0</v>
      </c>
      <c r="S224" s="1156"/>
      <c r="T224" s="1427"/>
      <c r="U224" s="1430"/>
      <c r="V224" s="1433"/>
      <c r="W224" s="398"/>
    </row>
    <row r="225" spans="1:23" s="399" customFormat="1" ht="14.25" customHeight="1" x14ac:dyDescent="0.2">
      <c r="A225" s="1409"/>
      <c r="B225" s="1412"/>
      <c r="C225" s="1415"/>
      <c r="D225" s="1381"/>
      <c r="E225" s="1419"/>
      <c r="F225" s="411" t="s">
        <v>344</v>
      </c>
      <c r="G225" s="1422"/>
      <c r="H225" s="401" t="s">
        <v>73</v>
      </c>
      <c r="I225" s="403">
        <f t="shared" si="70"/>
        <v>0</v>
      </c>
      <c r="J225" s="404">
        <v>0</v>
      </c>
      <c r="K225" s="404">
        <v>0</v>
      </c>
      <c r="L225" s="405">
        <v>0</v>
      </c>
      <c r="M225" s="406">
        <f>N225+P225</f>
        <v>4.5519999999999996</v>
      </c>
      <c r="N225" s="407">
        <v>4.5519999999999996</v>
      </c>
      <c r="O225" s="407">
        <v>3.4889999999999999</v>
      </c>
      <c r="P225" s="408">
        <v>0</v>
      </c>
      <c r="Q225" s="409">
        <v>0</v>
      </c>
      <c r="R225" s="410">
        <v>0</v>
      </c>
      <c r="S225" s="1156"/>
      <c r="T225" s="1428"/>
      <c r="U225" s="1431"/>
      <c r="V225" s="1434"/>
      <c r="W225" s="398"/>
    </row>
    <row r="226" spans="1:23" s="399" customFormat="1" ht="15.75" customHeight="1" thickBot="1" x14ac:dyDescent="0.25">
      <c r="A226" s="1410"/>
      <c r="B226" s="1413"/>
      <c r="C226" s="1416"/>
      <c r="D226" s="1417"/>
      <c r="E226" s="1420"/>
      <c r="F226" s="412"/>
      <c r="G226" s="1423"/>
      <c r="H226" s="413" t="s">
        <v>13</v>
      </c>
      <c r="I226" s="414">
        <f t="shared" ref="I226:R226" si="71">SUM(I219:I225)</f>
        <v>440.3</v>
      </c>
      <c r="J226" s="415">
        <f t="shared" si="71"/>
        <v>440.3</v>
      </c>
      <c r="K226" s="415">
        <f t="shared" si="71"/>
        <v>293.5</v>
      </c>
      <c r="L226" s="416">
        <f t="shared" si="71"/>
        <v>0</v>
      </c>
      <c r="M226" s="417">
        <f t="shared" si="71"/>
        <v>480.35199999999998</v>
      </c>
      <c r="N226" s="418">
        <f t="shared" si="71"/>
        <v>480.35199999999998</v>
      </c>
      <c r="O226" s="418">
        <f t="shared" si="71"/>
        <v>322.18899999999996</v>
      </c>
      <c r="P226" s="419">
        <f t="shared" si="71"/>
        <v>0</v>
      </c>
      <c r="Q226" s="420">
        <f t="shared" si="71"/>
        <v>440.3</v>
      </c>
      <c r="R226" s="421">
        <f t="shared" si="71"/>
        <v>440.3</v>
      </c>
      <c r="S226" s="1424"/>
      <c r="T226" s="414">
        <f>SUM(T219:T219)</f>
        <v>54</v>
      </c>
      <c r="U226" s="415">
        <f>SUM(U219:U219)</f>
        <v>54</v>
      </c>
      <c r="V226" s="422"/>
      <c r="W226" s="398"/>
    </row>
    <row r="227" spans="1:23" s="399" customFormat="1" ht="20.25" customHeight="1" x14ac:dyDescent="0.2">
      <c r="A227" s="1435" t="s">
        <v>17</v>
      </c>
      <c r="B227" s="1438" t="s">
        <v>18</v>
      </c>
      <c r="C227" s="1441">
        <v>4</v>
      </c>
      <c r="D227" s="1444" t="s">
        <v>345</v>
      </c>
      <c r="E227" s="1447" t="s">
        <v>238</v>
      </c>
      <c r="F227" s="423"/>
      <c r="G227" s="1448" t="s">
        <v>346</v>
      </c>
      <c r="H227" s="424" t="s">
        <v>30</v>
      </c>
      <c r="I227" s="425">
        <f>J227+L227</f>
        <v>0</v>
      </c>
      <c r="J227" s="426">
        <v>0</v>
      </c>
      <c r="K227" s="426">
        <v>0</v>
      </c>
      <c r="L227" s="427">
        <v>0</v>
      </c>
      <c r="M227" s="375">
        <f>N227+P227</f>
        <v>0</v>
      </c>
      <c r="N227" s="376">
        <v>0</v>
      </c>
      <c r="O227" s="376">
        <v>0</v>
      </c>
      <c r="P227" s="377">
        <v>0</v>
      </c>
      <c r="Q227" s="428">
        <v>47.2</v>
      </c>
      <c r="R227" s="429">
        <v>47.1</v>
      </c>
      <c r="S227" s="1400" t="s">
        <v>347</v>
      </c>
      <c r="T227" s="1449">
        <v>0</v>
      </c>
      <c r="U227" s="1451">
        <v>0</v>
      </c>
      <c r="V227" s="1453"/>
      <c r="W227" s="398"/>
    </row>
    <row r="228" spans="1:23" s="399" customFormat="1" ht="20.25" customHeight="1" thickBot="1" x14ac:dyDescent="0.25">
      <c r="A228" s="1436"/>
      <c r="B228" s="1439"/>
      <c r="C228" s="1442"/>
      <c r="D228" s="1445"/>
      <c r="E228" s="1419"/>
      <c r="F228" s="423"/>
      <c r="G228" s="1422"/>
      <c r="H228" s="430" t="s">
        <v>224</v>
      </c>
      <c r="I228" s="431">
        <f>J228+L228</f>
        <v>0</v>
      </c>
      <c r="J228" s="432">
        <v>0</v>
      </c>
      <c r="K228" s="432">
        <v>0</v>
      </c>
      <c r="L228" s="433">
        <v>0</v>
      </c>
      <c r="M228" s="434">
        <f>N228+P228</f>
        <v>0</v>
      </c>
      <c r="N228" s="435">
        <v>0</v>
      </c>
      <c r="O228" s="435">
        <v>0</v>
      </c>
      <c r="P228" s="436">
        <v>0</v>
      </c>
      <c r="Q228" s="437">
        <v>1</v>
      </c>
      <c r="R228" s="438">
        <v>0.9</v>
      </c>
      <c r="S228" s="1392"/>
      <c r="T228" s="1450"/>
      <c r="U228" s="1452"/>
      <c r="V228" s="1454"/>
      <c r="W228" s="398"/>
    </row>
    <row r="229" spans="1:23" s="399" customFormat="1" ht="17.25" customHeight="1" thickBot="1" x14ac:dyDescent="0.25">
      <c r="A229" s="1437"/>
      <c r="B229" s="1440"/>
      <c r="C229" s="1443"/>
      <c r="D229" s="1446"/>
      <c r="E229" s="1420"/>
      <c r="F229" s="439"/>
      <c r="G229" s="1423"/>
      <c r="H229" s="440"/>
      <c r="I229" s="441">
        <f t="shared" ref="I229:P229" si="72">SUM(I227:I228)</f>
        <v>0</v>
      </c>
      <c r="J229" s="442">
        <f t="shared" si="72"/>
        <v>0</v>
      </c>
      <c r="K229" s="442">
        <f t="shared" si="72"/>
        <v>0</v>
      </c>
      <c r="L229" s="443">
        <f t="shared" si="72"/>
        <v>0</v>
      </c>
      <c r="M229" s="444">
        <f t="shared" si="72"/>
        <v>0</v>
      </c>
      <c r="N229" s="445">
        <f t="shared" si="72"/>
        <v>0</v>
      </c>
      <c r="O229" s="445">
        <f t="shared" si="72"/>
        <v>0</v>
      </c>
      <c r="P229" s="446">
        <f t="shared" si="72"/>
        <v>0</v>
      </c>
      <c r="Q229" s="447">
        <f>SUM(Q227:Q228)</f>
        <v>48.2</v>
      </c>
      <c r="R229" s="448">
        <f>SUM(R227:R228)</f>
        <v>48</v>
      </c>
      <c r="S229" s="1393"/>
      <c r="T229" s="441">
        <f>SUM(T227)</f>
        <v>0</v>
      </c>
      <c r="U229" s="442">
        <f>SUM(U227)</f>
        <v>0</v>
      </c>
      <c r="V229" s="449"/>
      <c r="W229" s="398"/>
    </row>
    <row r="230" spans="1:23" s="399" customFormat="1" ht="20.25" customHeight="1" x14ac:dyDescent="0.2">
      <c r="A230" s="1435" t="s">
        <v>17</v>
      </c>
      <c r="B230" s="1438" t="s">
        <v>18</v>
      </c>
      <c r="C230" s="1441">
        <v>5</v>
      </c>
      <c r="D230" s="1455" t="s">
        <v>348</v>
      </c>
      <c r="E230" s="1447" t="s">
        <v>349</v>
      </c>
      <c r="F230" s="423"/>
      <c r="G230" s="1448" t="s">
        <v>350</v>
      </c>
      <c r="H230" s="424" t="s">
        <v>30</v>
      </c>
      <c r="I230" s="425">
        <f>J230+L230</f>
        <v>0</v>
      </c>
      <c r="J230" s="426">
        <v>0</v>
      </c>
      <c r="K230" s="426">
        <v>0</v>
      </c>
      <c r="L230" s="427">
        <v>0</v>
      </c>
      <c r="M230" s="375">
        <f>N230+P230</f>
        <v>0</v>
      </c>
      <c r="N230" s="376">
        <v>0</v>
      </c>
      <c r="O230" s="376">
        <v>0</v>
      </c>
      <c r="P230" s="377">
        <v>0</v>
      </c>
      <c r="Q230" s="428">
        <v>47.2</v>
      </c>
      <c r="R230" s="429">
        <v>47.1</v>
      </c>
      <c r="S230" s="1400" t="s">
        <v>347</v>
      </c>
      <c r="T230" s="1449">
        <v>0</v>
      </c>
      <c r="U230" s="1451">
        <v>0</v>
      </c>
      <c r="V230" s="1453"/>
      <c r="W230" s="398"/>
    </row>
    <row r="231" spans="1:23" s="399" customFormat="1" ht="20.25" customHeight="1" thickBot="1" x14ac:dyDescent="0.25">
      <c r="A231" s="1436"/>
      <c r="B231" s="1439"/>
      <c r="C231" s="1442"/>
      <c r="D231" s="1458"/>
      <c r="E231" s="1419"/>
      <c r="F231" s="423"/>
      <c r="G231" s="1422"/>
      <c r="H231" s="430" t="s">
        <v>224</v>
      </c>
      <c r="I231" s="431">
        <f>J231+L231</f>
        <v>0</v>
      </c>
      <c r="J231" s="432">
        <v>0</v>
      </c>
      <c r="K231" s="432">
        <v>0</v>
      </c>
      <c r="L231" s="433">
        <v>0</v>
      </c>
      <c r="M231" s="434">
        <f>N231+P231</f>
        <v>0</v>
      </c>
      <c r="N231" s="435">
        <v>0</v>
      </c>
      <c r="O231" s="435">
        <v>0</v>
      </c>
      <c r="P231" s="436">
        <v>0</v>
      </c>
      <c r="Q231" s="437">
        <v>1</v>
      </c>
      <c r="R231" s="438">
        <v>0.9</v>
      </c>
      <c r="S231" s="1392"/>
      <c r="T231" s="1450"/>
      <c r="U231" s="1452"/>
      <c r="V231" s="1454"/>
      <c r="W231" s="398"/>
    </row>
    <row r="232" spans="1:23" s="399" customFormat="1" ht="18" customHeight="1" thickBot="1" x14ac:dyDescent="0.25">
      <c r="A232" s="1437"/>
      <c r="B232" s="1440"/>
      <c r="C232" s="1443"/>
      <c r="D232" s="1456"/>
      <c r="E232" s="1420"/>
      <c r="F232" s="439"/>
      <c r="G232" s="1423"/>
      <c r="H232" s="440"/>
      <c r="I232" s="441">
        <f t="shared" ref="I232:P232" si="73">SUM(I230:I231)</f>
        <v>0</v>
      </c>
      <c r="J232" s="442">
        <f t="shared" si="73"/>
        <v>0</v>
      </c>
      <c r="K232" s="442">
        <f t="shared" si="73"/>
        <v>0</v>
      </c>
      <c r="L232" s="443">
        <f t="shared" si="73"/>
        <v>0</v>
      </c>
      <c r="M232" s="444">
        <f t="shared" si="73"/>
        <v>0</v>
      </c>
      <c r="N232" s="445">
        <f t="shared" si="73"/>
        <v>0</v>
      </c>
      <c r="O232" s="445">
        <f t="shared" si="73"/>
        <v>0</v>
      </c>
      <c r="P232" s="446">
        <f t="shared" si="73"/>
        <v>0</v>
      </c>
      <c r="Q232" s="447">
        <f>SUM(Q230:Q231)</f>
        <v>48.2</v>
      </c>
      <c r="R232" s="448">
        <f>SUM(R230:R231)</f>
        <v>48</v>
      </c>
      <c r="S232" s="1393"/>
      <c r="T232" s="441">
        <f>SUM(T230)</f>
        <v>0</v>
      </c>
      <c r="U232" s="442">
        <f>SUM(U230)</f>
        <v>0</v>
      </c>
      <c r="V232" s="449"/>
      <c r="W232" s="398"/>
    </row>
    <row r="233" spans="1:23" s="399" customFormat="1" ht="20.25" customHeight="1" x14ac:dyDescent="0.2">
      <c r="A233" s="1435" t="s">
        <v>17</v>
      </c>
      <c r="B233" s="1438" t="s">
        <v>18</v>
      </c>
      <c r="C233" s="1441">
        <v>6</v>
      </c>
      <c r="D233" s="1455" t="s">
        <v>351</v>
      </c>
      <c r="E233" s="1447" t="s">
        <v>352</v>
      </c>
      <c r="F233" s="423"/>
      <c r="G233" s="1448" t="s">
        <v>17</v>
      </c>
      <c r="H233" s="424" t="s">
        <v>224</v>
      </c>
      <c r="I233" s="425">
        <f>J233+L233</f>
        <v>4.8</v>
      </c>
      <c r="J233" s="426">
        <v>4.8</v>
      </c>
      <c r="K233" s="426">
        <v>0</v>
      </c>
      <c r="L233" s="427">
        <v>0</v>
      </c>
      <c r="M233" s="375">
        <f>N233+P233</f>
        <v>3.6</v>
      </c>
      <c r="N233" s="376">
        <v>3.6</v>
      </c>
      <c r="O233" s="376">
        <v>0</v>
      </c>
      <c r="P233" s="377">
        <v>0</v>
      </c>
      <c r="Q233" s="428">
        <v>14.5</v>
      </c>
      <c r="R233" s="429">
        <v>14.5</v>
      </c>
      <c r="S233" s="1400" t="s">
        <v>325</v>
      </c>
      <c r="T233" s="425">
        <v>3</v>
      </c>
      <c r="U233" s="426">
        <v>3</v>
      </c>
      <c r="V233" s="450"/>
      <c r="W233" s="398"/>
    </row>
    <row r="234" spans="1:23" s="399" customFormat="1" ht="15.75" customHeight="1" thickBot="1" x14ac:dyDescent="0.25">
      <c r="A234" s="1437"/>
      <c r="B234" s="1440"/>
      <c r="C234" s="1443"/>
      <c r="D234" s="1456"/>
      <c r="E234" s="1420"/>
      <c r="F234" s="439"/>
      <c r="G234" s="1423"/>
      <c r="H234" s="440"/>
      <c r="I234" s="441">
        <f t="shared" ref="I234:P234" si="74">SUM(I233)</f>
        <v>4.8</v>
      </c>
      <c r="J234" s="442">
        <f t="shared" si="74"/>
        <v>4.8</v>
      </c>
      <c r="K234" s="442">
        <f t="shared" si="74"/>
        <v>0</v>
      </c>
      <c r="L234" s="443">
        <f t="shared" si="74"/>
        <v>0</v>
      </c>
      <c r="M234" s="444">
        <f t="shared" si="74"/>
        <v>3.6</v>
      </c>
      <c r="N234" s="445">
        <f t="shared" si="74"/>
        <v>3.6</v>
      </c>
      <c r="O234" s="445">
        <f t="shared" si="74"/>
        <v>0</v>
      </c>
      <c r="P234" s="446">
        <f t="shared" si="74"/>
        <v>0</v>
      </c>
      <c r="Q234" s="447">
        <f>SUM(Q233)</f>
        <v>14.5</v>
      </c>
      <c r="R234" s="448">
        <f>SUM(R233)</f>
        <v>14.5</v>
      </c>
      <c r="S234" s="1393"/>
      <c r="T234" s="441"/>
      <c r="U234" s="442"/>
      <c r="V234" s="449"/>
      <c r="W234" s="398"/>
    </row>
    <row r="235" spans="1:23" s="399" customFormat="1" ht="20.25" hidden="1" customHeight="1" x14ac:dyDescent="0.2">
      <c r="A235" s="1435" t="s">
        <v>17</v>
      </c>
      <c r="B235" s="1438" t="s">
        <v>18</v>
      </c>
      <c r="C235" s="1469">
        <v>7</v>
      </c>
      <c r="D235" s="1471" t="s">
        <v>353</v>
      </c>
      <c r="E235" s="1473" t="s">
        <v>80</v>
      </c>
      <c r="F235" s="451" t="s">
        <v>354</v>
      </c>
      <c r="G235" s="1475" t="s">
        <v>355</v>
      </c>
      <c r="H235" s="452" t="s">
        <v>224</v>
      </c>
      <c r="I235" s="425">
        <f>J235+L235</f>
        <v>0</v>
      </c>
      <c r="J235" s="426">
        <v>0</v>
      </c>
      <c r="K235" s="426">
        <v>0</v>
      </c>
      <c r="L235" s="427">
        <v>0</v>
      </c>
      <c r="M235" s="375">
        <f>N235+P235</f>
        <v>0</v>
      </c>
      <c r="N235" s="376">
        <v>0</v>
      </c>
      <c r="O235" s="376">
        <v>0</v>
      </c>
      <c r="P235" s="377">
        <v>0</v>
      </c>
      <c r="Q235" s="428">
        <v>0</v>
      </c>
      <c r="R235" s="429">
        <v>0</v>
      </c>
      <c r="S235" s="1400" t="s">
        <v>356</v>
      </c>
      <c r="T235" s="453">
        <v>0</v>
      </c>
      <c r="U235" s="454">
        <v>0</v>
      </c>
      <c r="V235" s="455"/>
      <c r="W235" s="398"/>
    </row>
    <row r="236" spans="1:23" s="399" customFormat="1" ht="20.25" hidden="1" customHeight="1" x14ac:dyDescent="0.2">
      <c r="A236" s="1437"/>
      <c r="B236" s="1440"/>
      <c r="C236" s="1470"/>
      <c r="D236" s="1472"/>
      <c r="E236" s="1474"/>
      <c r="F236" s="456"/>
      <c r="G236" s="1476"/>
      <c r="H236" s="457"/>
      <c r="I236" s="441">
        <f t="shared" ref="I236:P236" si="75">SUM(I235)</f>
        <v>0</v>
      </c>
      <c r="J236" s="442">
        <f t="shared" si="75"/>
        <v>0</v>
      </c>
      <c r="K236" s="442">
        <f t="shared" si="75"/>
        <v>0</v>
      </c>
      <c r="L236" s="443">
        <f t="shared" si="75"/>
        <v>0</v>
      </c>
      <c r="M236" s="444">
        <f t="shared" si="75"/>
        <v>0</v>
      </c>
      <c r="N236" s="445">
        <f t="shared" si="75"/>
        <v>0</v>
      </c>
      <c r="O236" s="445">
        <f t="shared" si="75"/>
        <v>0</v>
      </c>
      <c r="P236" s="446">
        <f t="shared" si="75"/>
        <v>0</v>
      </c>
      <c r="Q236" s="447">
        <f>SUM(Q235)</f>
        <v>0</v>
      </c>
      <c r="R236" s="448">
        <f>SUM(R235)</f>
        <v>0</v>
      </c>
      <c r="S236" s="1393"/>
      <c r="T236" s="441">
        <f>SUM(T235)</f>
        <v>0</v>
      </c>
      <c r="U236" s="442">
        <f>SUM(U235)</f>
        <v>0</v>
      </c>
      <c r="V236" s="449"/>
      <c r="W236" s="398"/>
    </row>
    <row r="237" spans="1:23" ht="19.5" customHeight="1" thickBot="1" x14ac:dyDescent="0.25">
      <c r="A237" s="356" t="s">
        <v>17</v>
      </c>
      <c r="B237" s="458" t="s">
        <v>18</v>
      </c>
      <c r="C237" s="1115" t="s">
        <v>14</v>
      </c>
      <c r="D237" s="1461"/>
      <c r="E237" s="1461"/>
      <c r="F237" s="1461"/>
      <c r="G237" s="1461"/>
      <c r="H237" s="1462"/>
      <c r="I237" s="361">
        <f t="shared" ref="I237:N237" si="76">I188+I190+I226+I229+I232+I234+I236</f>
        <v>919.8</v>
      </c>
      <c r="J237" s="362">
        <f t="shared" si="76"/>
        <v>919.8</v>
      </c>
      <c r="K237" s="362">
        <f t="shared" si="76"/>
        <v>503.1</v>
      </c>
      <c r="L237" s="459">
        <f t="shared" si="76"/>
        <v>0</v>
      </c>
      <c r="M237" s="358">
        <f t="shared" si="76"/>
        <v>955.24900000000002</v>
      </c>
      <c r="N237" s="358">
        <f t="shared" si="76"/>
        <v>955.24900000000002</v>
      </c>
      <c r="O237" s="359">
        <f>SUM(O188,O190,O226)</f>
        <v>559.80600000000004</v>
      </c>
      <c r="P237" s="460">
        <f>SUM(P188,P190,P226)</f>
        <v>0</v>
      </c>
      <c r="Q237" s="461">
        <f>Q188+Q190+Q226+Q229+Q232+Q234+Q236</f>
        <v>1038.5</v>
      </c>
      <c r="R237" s="461">
        <f>R188+R190+R226+R229+R232+R234+R236</f>
        <v>1036.7</v>
      </c>
      <c r="S237" s="462" t="s">
        <v>23</v>
      </c>
      <c r="T237" s="367" t="s">
        <v>23</v>
      </c>
      <c r="U237" s="368" t="s">
        <v>23</v>
      </c>
      <c r="V237" s="369" t="s">
        <v>23</v>
      </c>
    </row>
    <row r="238" spans="1:23" ht="21" customHeight="1" thickBot="1" x14ac:dyDescent="0.25">
      <c r="A238" s="356" t="s">
        <v>17</v>
      </c>
      <c r="B238" s="1463" t="s">
        <v>15</v>
      </c>
      <c r="C238" s="1464"/>
      <c r="D238" s="1464"/>
      <c r="E238" s="1464"/>
      <c r="F238" s="1464"/>
      <c r="G238" s="1464"/>
      <c r="H238" s="1465"/>
      <c r="I238" s="463">
        <f t="shared" ref="I238:R238" si="77">SUM(I180,I237)</f>
        <v>8769.2999999999993</v>
      </c>
      <c r="J238" s="464">
        <f t="shared" si="77"/>
        <v>8651.6999999999989</v>
      </c>
      <c r="K238" s="464">
        <f t="shared" si="77"/>
        <v>5333.7</v>
      </c>
      <c r="L238" s="465">
        <f t="shared" si="77"/>
        <v>117.6</v>
      </c>
      <c r="M238" s="466">
        <f t="shared" si="77"/>
        <v>8709.7870000000003</v>
      </c>
      <c r="N238" s="467">
        <f t="shared" si="77"/>
        <v>8694.7870000000003</v>
      </c>
      <c r="O238" s="467">
        <f t="shared" si="77"/>
        <v>5721.0690000000013</v>
      </c>
      <c r="P238" s="468">
        <f t="shared" si="77"/>
        <v>15</v>
      </c>
      <c r="Q238" s="469">
        <f t="shared" si="77"/>
        <v>8914</v>
      </c>
      <c r="R238" s="470">
        <f t="shared" si="77"/>
        <v>9111.1</v>
      </c>
      <c r="S238" s="471" t="s">
        <v>23</v>
      </c>
      <c r="T238" s="472" t="s">
        <v>23</v>
      </c>
      <c r="U238" s="473" t="s">
        <v>23</v>
      </c>
      <c r="V238" s="474" t="s">
        <v>23</v>
      </c>
      <c r="W238" s="255"/>
    </row>
    <row r="239" spans="1:23" ht="23.25" customHeight="1" thickBot="1" x14ac:dyDescent="0.25">
      <c r="A239" s="1466" t="s">
        <v>16</v>
      </c>
      <c r="B239" s="1467"/>
      <c r="C239" s="1467"/>
      <c r="D239" s="1467"/>
      <c r="E239" s="1467"/>
      <c r="F239" s="1467"/>
      <c r="G239" s="1467"/>
      <c r="H239" s="1467"/>
      <c r="I239" s="475">
        <f>SUM(I238)</f>
        <v>8769.2999999999993</v>
      </c>
      <c r="J239" s="476">
        <f t="shared" ref="J239:R239" si="78">SUM(J238)</f>
        <v>8651.6999999999989</v>
      </c>
      <c r="K239" s="476">
        <f t="shared" si="78"/>
        <v>5333.7</v>
      </c>
      <c r="L239" s="477">
        <f t="shared" si="78"/>
        <v>117.6</v>
      </c>
      <c r="M239" s="478">
        <f t="shared" si="78"/>
        <v>8709.7870000000003</v>
      </c>
      <c r="N239" s="479">
        <f t="shared" si="78"/>
        <v>8694.7870000000003</v>
      </c>
      <c r="O239" s="479">
        <f t="shared" si="78"/>
        <v>5721.0690000000013</v>
      </c>
      <c r="P239" s="480">
        <f t="shared" si="78"/>
        <v>15</v>
      </c>
      <c r="Q239" s="481">
        <f t="shared" si="78"/>
        <v>8914</v>
      </c>
      <c r="R239" s="482">
        <f t="shared" si="78"/>
        <v>9111.1</v>
      </c>
      <c r="S239" s="483" t="s">
        <v>23</v>
      </c>
      <c r="T239" s="484" t="s">
        <v>23</v>
      </c>
      <c r="U239" s="485" t="s">
        <v>23</v>
      </c>
      <c r="V239" s="486" t="s">
        <v>23</v>
      </c>
      <c r="W239" s="255"/>
    </row>
    <row r="240" spans="1:23" x14ac:dyDescent="0.2">
      <c r="A240" s="255"/>
      <c r="B240" s="255"/>
      <c r="C240" s="255"/>
      <c r="D240" s="255"/>
      <c r="E240" s="255"/>
      <c r="F240" s="255"/>
      <c r="G240" s="487"/>
      <c r="H240" s="255"/>
      <c r="I240" s="488"/>
      <c r="J240" s="488"/>
      <c r="K240" s="488"/>
      <c r="L240" s="488"/>
      <c r="M240" s="488"/>
      <c r="N240" s="488"/>
      <c r="O240" s="488"/>
      <c r="P240" s="488"/>
      <c r="W240" s="255"/>
    </row>
    <row r="241" spans="1:23" x14ac:dyDescent="0.2">
      <c r="A241" s="255"/>
      <c r="B241" s="255"/>
      <c r="C241" s="255"/>
      <c r="D241" s="255"/>
      <c r="E241" s="255"/>
      <c r="F241" s="255"/>
      <c r="G241" s="487"/>
      <c r="H241" s="255"/>
      <c r="I241" s="488"/>
      <c r="J241" s="488"/>
      <c r="K241" s="488"/>
      <c r="L241" s="488"/>
      <c r="M241" s="488"/>
      <c r="N241" s="488"/>
      <c r="O241" s="488"/>
      <c r="P241" s="488"/>
      <c r="Q241" s="231"/>
      <c r="W241" s="255"/>
    </row>
    <row r="242" spans="1:23" ht="15" customHeight="1" x14ac:dyDescent="0.2">
      <c r="C242" s="489" t="s">
        <v>357</v>
      </c>
      <c r="D242" s="489"/>
      <c r="E242" s="489"/>
      <c r="F242" s="489"/>
      <c r="G242" s="489"/>
      <c r="H242" s="489"/>
      <c r="I242" s="489"/>
      <c r="J242" s="489"/>
      <c r="K242" s="489"/>
      <c r="L242" s="489"/>
      <c r="M242" s="489"/>
      <c r="N242" s="489"/>
      <c r="O242" s="490"/>
      <c r="P242" s="490"/>
      <c r="Q242" s="490"/>
      <c r="R242" s="490"/>
      <c r="S242" s="490"/>
    </row>
    <row r="243" spans="1:23" ht="13.5" customHeight="1" x14ac:dyDescent="0.2">
      <c r="I243" s="491"/>
      <c r="J243" s="491"/>
      <c r="K243" s="491"/>
      <c r="L243" s="491"/>
      <c r="M243" s="491"/>
      <c r="N243" s="491"/>
      <c r="O243" s="491"/>
      <c r="P243" s="491"/>
      <c r="Q243" s="491"/>
      <c r="R243" s="491"/>
      <c r="S243" s="490"/>
    </row>
    <row r="244" spans="1:23" ht="13.5" hidden="1" customHeight="1" x14ac:dyDescent="0.2">
      <c r="C244" s="1468" t="s">
        <v>358</v>
      </c>
      <c r="D244" s="1468"/>
      <c r="E244" s="1468"/>
      <c r="I244" s="491"/>
      <c r="J244" s="491"/>
      <c r="K244" s="491"/>
      <c r="L244" s="491"/>
      <c r="M244" s="491"/>
      <c r="N244" s="491"/>
      <c r="O244" s="491"/>
      <c r="P244" s="491"/>
      <c r="Q244" s="491"/>
      <c r="R244" s="491"/>
      <c r="S244" s="490"/>
    </row>
    <row r="245" spans="1:23" hidden="1" x14ac:dyDescent="0.2">
      <c r="H245" s="492" t="s">
        <v>222</v>
      </c>
      <c r="I245" s="493">
        <f>I15+I100+I169+I172+I176+I182+I219</f>
        <v>4111</v>
      </c>
      <c r="J245" s="494">
        <f t="shared" ref="J245:R245" si="79">J15+J100+J169+J172+J176+J182+J219</f>
        <v>4109</v>
      </c>
      <c r="K245" s="494">
        <f t="shared" si="79"/>
        <v>2890.4999999999995</v>
      </c>
      <c r="L245" s="495">
        <f t="shared" si="79"/>
        <v>2</v>
      </c>
      <c r="M245" s="425">
        <f t="shared" si="79"/>
        <v>4240.2999999999993</v>
      </c>
      <c r="N245" s="426">
        <f t="shared" si="79"/>
        <v>4238.0999999999995</v>
      </c>
      <c r="O245" s="496">
        <f t="shared" si="79"/>
        <v>3159.8880000000004</v>
      </c>
      <c r="P245" s="450">
        <f t="shared" si="79"/>
        <v>2.2000000000000002</v>
      </c>
      <c r="Q245" s="493">
        <f t="shared" si="79"/>
        <v>4095.7999999999997</v>
      </c>
      <c r="R245" s="495">
        <f t="shared" si="79"/>
        <v>4083.2000000000003</v>
      </c>
    </row>
    <row r="246" spans="1:23" hidden="1" x14ac:dyDescent="0.2">
      <c r="H246" s="497" t="s">
        <v>224</v>
      </c>
      <c r="I246" s="498">
        <f>I16+I101+I170+I173+I178+I183+I189+I220+I228+I231+I233+I235</f>
        <v>4204.2</v>
      </c>
      <c r="J246" s="499">
        <f t="shared" ref="J246:R246" si="80">J16+J101+J170+J173+J178+J183+J189+J220+J228+J231+J233+J235</f>
        <v>4088.6</v>
      </c>
      <c r="K246" s="499">
        <f t="shared" si="80"/>
        <v>2273.7999999999997</v>
      </c>
      <c r="L246" s="500">
        <f t="shared" si="80"/>
        <v>115.6</v>
      </c>
      <c r="M246" s="501">
        <f t="shared" si="80"/>
        <v>3819.5780000000009</v>
      </c>
      <c r="N246" s="502">
        <f t="shared" si="80"/>
        <v>3806.7780000000007</v>
      </c>
      <c r="O246" s="502">
        <f t="shared" si="80"/>
        <v>2255.2490000000007</v>
      </c>
      <c r="P246" s="393">
        <f t="shared" si="80"/>
        <v>12.8</v>
      </c>
      <c r="Q246" s="498">
        <f t="shared" si="80"/>
        <v>4259.7999999999993</v>
      </c>
      <c r="R246" s="500">
        <f t="shared" si="80"/>
        <v>4463.6999999999989</v>
      </c>
    </row>
    <row r="247" spans="1:23" hidden="1" x14ac:dyDescent="0.2">
      <c r="H247" s="497" t="s">
        <v>225</v>
      </c>
      <c r="I247" s="503">
        <f>I17+I102</f>
        <v>129.19999999999999</v>
      </c>
      <c r="J247" s="504">
        <f t="shared" ref="J247:R247" si="81">J17+J102</f>
        <v>129.19999999999999</v>
      </c>
      <c r="K247" s="226">
        <f t="shared" si="81"/>
        <v>0</v>
      </c>
      <c r="L247" s="505">
        <f t="shared" si="81"/>
        <v>0</v>
      </c>
      <c r="M247" s="506">
        <f t="shared" si="81"/>
        <v>130.79600000000002</v>
      </c>
      <c r="N247" s="507">
        <f t="shared" si="81"/>
        <v>130.79600000000002</v>
      </c>
      <c r="O247" s="293">
        <f t="shared" si="81"/>
        <v>0</v>
      </c>
      <c r="P247" s="508">
        <f t="shared" si="81"/>
        <v>0</v>
      </c>
      <c r="Q247" s="509">
        <f t="shared" si="81"/>
        <v>137</v>
      </c>
      <c r="R247" s="505">
        <f t="shared" si="81"/>
        <v>142.4</v>
      </c>
    </row>
    <row r="248" spans="1:23" hidden="1" x14ac:dyDescent="0.2">
      <c r="H248" s="497" t="s">
        <v>343</v>
      </c>
      <c r="I248" s="503">
        <f>I221</f>
        <v>275</v>
      </c>
      <c r="J248" s="504">
        <f t="shared" ref="J248:R248" si="82">J221</f>
        <v>275</v>
      </c>
      <c r="K248" s="504">
        <f t="shared" si="82"/>
        <v>169.4</v>
      </c>
      <c r="L248" s="505">
        <f t="shared" si="82"/>
        <v>0</v>
      </c>
      <c r="M248" s="308">
        <f t="shared" si="82"/>
        <v>284.5</v>
      </c>
      <c r="N248" s="293">
        <f t="shared" si="82"/>
        <v>284.5</v>
      </c>
      <c r="O248" s="293">
        <f t="shared" si="82"/>
        <v>178.1</v>
      </c>
      <c r="P248" s="508">
        <f t="shared" si="82"/>
        <v>0</v>
      </c>
      <c r="Q248" s="509">
        <f t="shared" si="82"/>
        <v>275</v>
      </c>
      <c r="R248" s="505">
        <f t="shared" si="82"/>
        <v>275</v>
      </c>
    </row>
    <row r="249" spans="1:23" hidden="1" x14ac:dyDescent="0.2">
      <c r="H249" s="497" t="s">
        <v>226</v>
      </c>
      <c r="I249" s="498">
        <f>I18+I103+I184+I222</f>
        <v>49.899999999999991</v>
      </c>
      <c r="J249" s="499">
        <f t="shared" ref="J249:R249" si="83">J18+J103+J184+J222</f>
        <v>49.899999999999991</v>
      </c>
      <c r="K249" s="499">
        <f t="shared" si="83"/>
        <v>0</v>
      </c>
      <c r="L249" s="500">
        <f t="shared" si="83"/>
        <v>0</v>
      </c>
      <c r="M249" s="501">
        <f t="shared" si="83"/>
        <v>67.02</v>
      </c>
      <c r="N249" s="502">
        <f t="shared" si="83"/>
        <v>67.02</v>
      </c>
      <c r="O249" s="292">
        <f t="shared" si="83"/>
        <v>0</v>
      </c>
      <c r="P249" s="500">
        <f t="shared" si="83"/>
        <v>0</v>
      </c>
      <c r="Q249" s="498">
        <f t="shared" si="83"/>
        <v>52</v>
      </c>
      <c r="R249" s="500">
        <f t="shared" si="83"/>
        <v>52.599999999999994</v>
      </c>
    </row>
    <row r="250" spans="1:23" hidden="1" x14ac:dyDescent="0.2">
      <c r="E250" s="510" t="s">
        <v>359</v>
      </c>
      <c r="F250" s="510"/>
      <c r="H250" s="497" t="s">
        <v>73</v>
      </c>
      <c r="I250" s="498">
        <f>I19+I104+I174+I185+I223</f>
        <v>0</v>
      </c>
      <c r="J250" s="499">
        <f t="shared" ref="J250:R250" si="84">J19+J104+J174+J185+J223</f>
        <v>0</v>
      </c>
      <c r="K250" s="499">
        <f t="shared" si="84"/>
        <v>0</v>
      </c>
      <c r="L250" s="500">
        <f t="shared" si="84"/>
        <v>0</v>
      </c>
      <c r="M250" s="310">
        <f t="shared" si="84"/>
        <v>109.79999999999998</v>
      </c>
      <c r="N250" s="292">
        <f t="shared" si="84"/>
        <v>109.79999999999998</v>
      </c>
      <c r="O250" s="292">
        <f t="shared" si="84"/>
        <v>83.8</v>
      </c>
      <c r="P250" s="500">
        <f t="shared" si="84"/>
        <v>0</v>
      </c>
      <c r="Q250" s="498">
        <f t="shared" si="84"/>
        <v>0</v>
      </c>
      <c r="R250" s="500">
        <f t="shared" si="84"/>
        <v>0</v>
      </c>
    </row>
    <row r="251" spans="1:23" hidden="1" x14ac:dyDescent="0.2">
      <c r="E251" s="510" t="s">
        <v>360</v>
      </c>
      <c r="F251" s="510"/>
      <c r="H251" s="511" t="s">
        <v>73</v>
      </c>
      <c r="I251" s="498">
        <f>I20+I105+I186+I224</f>
        <v>0</v>
      </c>
      <c r="J251" s="499">
        <f t="shared" ref="J251:R251" si="85">J20+J105+J186+J224</f>
        <v>0</v>
      </c>
      <c r="K251" s="499">
        <f t="shared" si="85"/>
        <v>0</v>
      </c>
      <c r="L251" s="500">
        <f t="shared" si="85"/>
        <v>0</v>
      </c>
      <c r="M251" s="310">
        <f t="shared" si="85"/>
        <v>41.400000000000006</v>
      </c>
      <c r="N251" s="292">
        <f t="shared" si="85"/>
        <v>41.400000000000006</v>
      </c>
      <c r="O251" s="292">
        <f t="shared" si="85"/>
        <v>31.599999999999998</v>
      </c>
      <c r="P251" s="500">
        <f t="shared" si="85"/>
        <v>0</v>
      </c>
      <c r="Q251" s="498">
        <f t="shared" si="85"/>
        <v>0</v>
      </c>
      <c r="R251" s="500">
        <f t="shared" si="85"/>
        <v>0</v>
      </c>
    </row>
    <row r="252" spans="1:23" hidden="1" x14ac:dyDescent="0.2">
      <c r="E252" s="1457" t="s">
        <v>361</v>
      </c>
      <c r="F252" s="1457"/>
      <c r="H252" s="511" t="s">
        <v>73</v>
      </c>
      <c r="I252" s="498">
        <f>I21+I225</f>
        <v>0</v>
      </c>
      <c r="J252" s="499">
        <f t="shared" ref="J252:R252" si="86">J21+J225</f>
        <v>0</v>
      </c>
      <c r="K252" s="499">
        <f t="shared" si="86"/>
        <v>0</v>
      </c>
      <c r="L252" s="500">
        <f t="shared" si="86"/>
        <v>0</v>
      </c>
      <c r="M252" s="501">
        <f t="shared" si="86"/>
        <v>14.257</v>
      </c>
      <c r="N252" s="502">
        <f t="shared" si="86"/>
        <v>14.257</v>
      </c>
      <c r="O252" s="502">
        <f t="shared" si="86"/>
        <v>10.902000000000001</v>
      </c>
      <c r="P252" s="500">
        <f t="shared" si="86"/>
        <v>0</v>
      </c>
      <c r="Q252" s="498">
        <f t="shared" si="86"/>
        <v>0</v>
      </c>
      <c r="R252" s="500">
        <f t="shared" si="86"/>
        <v>0</v>
      </c>
    </row>
    <row r="253" spans="1:23" hidden="1" x14ac:dyDescent="0.2">
      <c r="E253" s="1457" t="s">
        <v>362</v>
      </c>
      <c r="F253" s="1457"/>
      <c r="H253" s="497" t="s">
        <v>73</v>
      </c>
      <c r="I253" s="498">
        <f>I187</f>
        <v>0</v>
      </c>
      <c r="J253" s="499">
        <f t="shared" ref="J253:R253" si="87">J187</f>
        <v>0</v>
      </c>
      <c r="K253" s="499">
        <f t="shared" si="87"/>
        <v>0</v>
      </c>
      <c r="L253" s="500">
        <f t="shared" si="87"/>
        <v>0</v>
      </c>
      <c r="M253" s="501">
        <f t="shared" si="87"/>
        <v>2.1360000000000001</v>
      </c>
      <c r="N253" s="502">
        <f t="shared" si="87"/>
        <v>2.1360000000000001</v>
      </c>
      <c r="O253" s="502">
        <f t="shared" si="87"/>
        <v>1.53</v>
      </c>
      <c r="P253" s="500">
        <f t="shared" si="87"/>
        <v>0</v>
      </c>
      <c r="Q253" s="498">
        <f t="shared" si="87"/>
        <v>0</v>
      </c>
      <c r="R253" s="500">
        <f t="shared" si="87"/>
        <v>0</v>
      </c>
    </row>
    <row r="254" spans="1:23" ht="12" hidden="1" thickBot="1" x14ac:dyDescent="0.25">
      <c r="E254" s="510" t="s">
        <v>363</v>
      </c>
      <c r="F254" s="510"/>
      <c r="H254" s="512" t="s">
        <v>30</v>
      </c>
      <c r="I254" s="513">
        <f>I227+I230</f>
        <v>0</v>
      </c>
      <c r="J254" s="514">
        <f t="shared" ref="J254:R254" si="88">J227+J230</f>
        <v>0</v>
      </c>
      <c r="K254" s="514">
        <f t="shared" si="88"/>
        <v>0</v>
      </c>
      <c r="L254" s="515">
        <f t="shared" si="88"/>
        <v>0</v>
      </c>
      <c r="M254" s="513">
        <f t="shared" si="88"/>
        <v>0</v>
      </c>
      <c r="N254" s="514">
        <f t="shared" si="88"/>
        <v>0</v>
      </c>
      <c r="O254" s="514">
        <f t="shared" si="88"/>
        <v>0</v>
      </c>
      <c r="P254" s="515">
        <f t="shared" si="88"/>
        <v>0</v>
      </c>
      <c r="Q254" s="513">
        <f t="shared" si="88"/>
        <v>94.4</v>
      </c>
      <c r="R254" s="515">
        <f t="shared" si="88"/>
        <v>94.2</v>
      </c>
    </row>
    <row r="255" spans="1:23" ht="12" hidden="1" thickBot="1" x14ac:dyDescent="0.25">
      <c r="H255" s="516"/>
      <c r="I255" s="517">
        <f t="shared" ref="I255:R255" si="89">SUM(I245:I254)</f>
        <v>8769.3000000000011</v>
      </c>
      <c r="J255" s="518">
        <f t="shared" si="89"/>
        <v>8651.7000000000007</v>
      </c>
      <c r="K255" s="518">
        <f t="shared" si="89"/>
        <v>5333.6999999999989</v>
      </c>
      <c r="L255" s="519">
        <f t="shared" si="89"/>
        <v>117.6</v>
      </c>
      <c r="M255" s="520">
        <f t="shared" si="89"/>
        <v>8709.7870000000003</v>
      </c>
      <c r="N255" s="521">
        <f t="shared" si="89"/>
        <v>8694.7870000000003</v>
      </c>
      <c r="O255" s="521">
        <f t="shared" si="89"/>
        <v>5721.0690000000013</v>
      </c>
      <c r="P255" s="519">
        <f t="shared" si="89"/>
        <v>15</v>
      </c>
      <c r="Q255" s="517">
        <f t="shared" si="89"/>
        <v>8913.9999999999982</v>
      </c>
      <c r="R255" s="519">
        <f t="shared" si="89"/>
        <v>9111.1</v>
      </c>
    </row>
    <row r="256" spans="1:23" hidden="1" x14ac:dyDescent="0.2"/>
    <row r="257" spans="13:18" hidden="1" x14ac:dyDescent="0.2">
      <c r="M257" s="229" t="s">
        <v>364</v>
      </c>
      <c r="N257" s="522" t="s">
        <v>365</v>
      </c>
      <c r="O257" s="1459" t="s">
        <v>366</v>
      </c>
      <c r="P257" s="1460"/>
      <c r="Q257" s="523">
        <v>5</v>
      </c>
      <c r="R257" s="523">
        <v>5</v>
      </c>
    </row>
    <row r="258" spans="13:18" hidden="1" x14ac:dyDescent="0.2"/>
  </sheetData>
  <mergeCells count="464">
    <mergeCell ref="O257:P257"/>
    <mergeCell ref="S235:S236"/>
    <mergeCell ref="C237:H237"/>
    <mergeCell ref="B238:H238"/>
    <mergeCell ref="A239:H239"/>
    <mergeCell ref="C244:E244"/>
    <mergeCell ref="E252:F252"/>
    <mergeCell ref="A235:A236"/>
    <mergeCell ref="B235:B236"/>
    <mergeCell ref="C235:C236"/>
    <mergeCell ref="D235:D236"/>
    <mergeCell ref="E235:E236"/>
    <mergeCell ref="G235:G236"/>
    <mergeCell ref="V230:V231"/>
    <mergeCell ref="A233:A234"/>
    <mergeCell ref="B233:B234"/>
    <mergeCell ref="C233:C234"/>
    <mergeCell ref="D233:D234"/>
    <mergeCell ref="E233:E234"/>
    <mergeCell ref="G233:G234"/>
    <mergeCell ref="S233:S234"/>
    <mergeCell ref="E253:F253"/>
    <mergeCell ref="A230:A232"/>
    <mergeCell ref="B230:B232"/>
    <mergeCell ref="C230:C232"/>
    <mergeCell ref="D230:D232"/>
    <mergeCell ref="E230:E232"/>
    <mergeCell ref="G230:G232"/>
    <mergeCell ref="S230:S232"/>
    <mergeCell ref="T230:T231"/>
    <mergeCell ref="U230:U231"/>
    <mergeCell ref="T219:T225"/>
    <mergeCell ref="U219:U225"/>
    <mergeCell ref="V219:V225"/>
    <mergeCell ref="A227:A229"/>
    <mergeCell ref="B227:B229"/>
    <mergeCell ref="C227:C229"/>
    <mergeCell ref="D227:D229"/>
    <mergeCell ref="E227:E229"/>
    <mergeCell ref="G227:G229"/>
    <mergeCell ref="S227:S229"/>
    <mergeCell ref="T227:T228"/>
    <mergeCell ref="U227:U228"/>
    <mergeCell ref="V227:V228"/>
    <mergeCell ref="S217:S218"/>
    <mergeCell ref="A219:A226"/>
    <mergeCell ref="B219:B226"/>
    <mergeCell ref="C219:C226"/>
    <mergeCell ref="D219:D226"/>
    <mergeCell ref="E219:E226"/>
    <mergeCell ref="G219:G226"/>
    <mergeCell ref="S219:S226"/>
    <mergeCell ref="A217:A218"/>
    <mergeCell ref="B217:B218"/>
    <mergeCell ref="C217:C218"/>
    <mergeCell ref="D217:D218"/>
    <mergeCell ref="E217:E218"/>
    <mergeCell ref="G217:G218"/>
    <mergeCell ref="S213:S214"/>
    <mergeCell ref="A215:A216"/>
    <mergeCell ref="B215:B216"/>
    <mergeCell ref="C215:C216"/>
    <mergeCell ref="D215:D216"/>
    <mergeCell ref="E215:E216"/>
    <mergeCell ref="G215:G216"/>
    <mergeCell ref="S215:S216"/>
    <mergeCell ref="A213:A214"/>
    <mergeCell ref="B213:B214"/>
    <mergeCell ref="C213:C214"/>
    <mergeCell ref="D213:D214"/>
    <mergeCell ref="E213:E214"/>
    <mergeCell ref="G213:G214"/>
    <mergeCell ref="S209:S210"/>
    <mergeCell ref="A211:A212"/>
    <mergeCell ref="B211:B212"/>
    <mergeCell ref="C211:C212"/>
    <mergeCell ref="D211:D212"/>
    <mergeCell ref="E211:E212"/>
    <mergeCell ref="G211:G212"/>
    <mergeCell ref="S211:S212"/>
    <mergeCell ref="A209:A210"/>
    <mergeCell ref="B209:B210"/>
    <mergeCell ref="C209:C210"/>
    <mergeCell ref="D209:D210"/>
    <mergeCell ref="E209:E210"/>
    <mergeCell ref="G209:G210"/>
    <mergeCell ref="S205:S206"/>
    <mergeCell ref="A207:A208"/>
    <mergeCell ref="B207:B208"/>
    <mergeCell ref="C207:C208"/>
    <mergeCell ref="D207:D208"/>
    <mergeCell ref="E207:E208"/>
    <mergeCell ref="G207:G208"/>
    <mergeCell ref="S207:S208"/>
    <mergeCell ref="A205:A206"/>
    <mergeCell ref="B205:B206"/>
    <mergeCell ref="C205:C206"/>
    <mergeCell ref="D205:D206"/>
    <mergeCell ref="E205:E206"/>
    <mergeCell ref="G205:G206"/>
    <mergeCell ref="S201:S202"/>
    <mergeCell ref="A203:A204"/>
    <mergeCell ref="B203:B204"/>
    <mergeCell ref="C203:C204"/>
    <mergeCell ref="D203:D204"/>
    <mergeCell ref="E203:E204"/>
    <mergeCell ref="G203:G204"/>
    <mergeCell ref="S203:S204"/>
    <mergeCell ref="A201:A202"/>
    <mergeCell ref="B201:B202"/>
    <mergeCell ref="C201:C202"/>
    <mergeCell ref="D201:D202"/>
    <mergeCell ref="E201:E202"/>
    <mergeCell ref="G201:G202"/>
    <mergeCell ref="S197:S198"/>
    <mergeCell ref="A199:A200"/>
    <mergeCell ref="B199:B200"/>
    <mergeCell ref="C199:C200"/>
    <mergeCell ref="D199:D200"/>
    <mergeCell ref="E199:E200"/>
    <mergeCell ref="G199:G200"/>
    <mergeCell ref="S199:S200"/>
    <mergeCell ref="A197:A198"/>
    <mergeCell ref="B197:B198"/>
    <mergeCell ref="C197:C198"/>
    <mergeCell ref="D197:D198"/>
    <mergeCell ref="E197:E198"/>
    <mergeCell ref="G197:G198"/>
    <mergeCell ref="S193:S194"/>
    <mergeCell ref="A195:A196"/>
    <mergeCell ref="B195:B196"/>
    <mergeCell ref="C195:C196"/>
    <mergeCell ref="D195:D196"/>
    <mergeCell ref="E195:E196"/>
    <mergeCell ref="G195:G196"/>
    <mergeCell ref="S195:S196"/>
    <mergeCell ref="A193:A194"/>
    <mergeCell ref="B193:B194"/>
    <mergeCell ref="C193:C194"/>
    <mergeCell ref="D193:D194"/>
    <mergeCell ref="E193:E194"/>
    <mergeCell ref="G193:G194"/>
    <mergeCell ref="S189:S190"/>
    <mergeCell ref="A191:A192"/>
    <mergeCell ref="B191:B192"/>
    <mergeCell ref="C191:C192"/>
    <mergeCell ref="D191:D192"/>
    <mergeCell ref="E191:E192"/>
    <mergeCell ref="G191:G192"/>
    <mergeCell ref="S191:S192"/>
    <mergeCell ref="A189:A190"/>
    <mergeCell ref="B189:B190"/>
    <mergeCell ref="C189:C190"/>
    <mergeCell ref="D189:D190"/>
    <mergeCell ref="E189:E190"/>
    <mergeCell ref="G189:G190"/>
    <mergeCell ref="S186:S188"/>
    <mergeCell ref="T186:T187"/>
    <mergeCell ref="U186:U187"/>
    <mergeCell ref="V186:V187"/>
    <mergeCell ref="A182:A188"/>
    <mergeCell ref="B182:B188"/>
    <mergeCell ref="C182:C188"/>
    <mergeCell ref="D182:D188"/>
    <mergeCell ref="E182:E188"/>
    <mergeCell ref="G182:G188"/>
    <mergeCell ref="V176:V178"/>
    <mergeCell ref="C180:H180"/>
    <mergeCell ref="C181:V181"/>
    <mergeCell ref="S172:S175"/>
    <mergeCell ref="T172:T174"/>
    <mergeCell ref="U172:U174"/>
    <mergeCell ref="V172:V174"/>
    <mergeCell ref="S182:S185"/>
    <mergeCell ref="T182:T184"/>
    <mergeCell ref="U182:U184"/>
    <mergeCell ref="V182:V184"/>
    <mergeCell ref="A176:A179"/>
    <mergeCell ref="B176:B179"/>
    <mergeCell ref="C176:C179"/>
    <mergeCell ref="D176:D179"/>
    <mergeCell ref="E176:E179"/>
    <mergeCell ref="G176:G179"/>
    <mergeCell ref="S169:S171"/>
    <mergeCell ref="T169:T170"/>
    <mergeCell ref="U169:U170"/>
    <mergeCell ref="S176:S179"/>
    <mergeCell ref="T176:T178"/>
    <mergeCell ref="U176:U178"/>
    <mergeCell ref="V163:V167"/>
    <mergeCell ref="W165:X165"/>
    <mergeCell ref="G156:G162"/>
    <mergeCell ref="S156:S162"/>
    <mergeCell ref="T156:T161"/>
    <mergeCell ref="U156:U161"/>
    <mergeCell ref="V156:V161"/>
    <mergeCell ref="V169:V170"/>
    <mergeCell ref="A172:A175"/>
    <mergeCell ref="B172:B175"/>
    <mergeCell ref="C172:C175"/>
    <mergeCell ref="D172:D175"/>
    <mergeCell ref="E172:E175"/>
    <mergeCell ref="G172:G175"/>
    <mergeCell ref="A169:A171"/>
    <mergeCell ref="B169:B171"/>
    <mergeCell ref="C169:C171"/>
    <mergeCell ref="D169:D171"/>
    <mergeCell ref="E169:E171"/>
    <mergeCell ref="G169:G171"/>
    <mergeCell ref="A163:A168"/>
    <mergeCell ref="B163:B168"/>
    <mergeCell ref="C163:C168"/>
    <mergeCell ref="D163:D168"/>
    <mergeCell ref="E163:E168"/>
    <mergeCell ref="G149:G155"/>
    <mergeCell ref="S149:S155"/>
    <mergeCell ref="T149:T154"/>
    <mergeCell ref="U149:U154"/>
    <mergeCell ref="G163:G168"/>
    <mergeCell ref="S163:S168"/>
    <mergeCell ref="T163:T167"/>
    <mergeCell ref="U163:U167"/>
    <mergeCell ref="V135:V140"/>
    <mergeCell ref="A142:A148"/>
    <mergeCell ref="B142:B148"/>
    <mergeCell ref="C142:C148"/>
    <mergeCell ref="D142:D148"/>
    <mergeCell ref="E142:E148"/>
    <mergeCell ref="V149:V154"/>
    <mergeCell ref="A156:A162"/>
    <mergeCell ref="B156:B162"/>
    <mergeCell ref="C156:C162"/>
    <mergeCell ref="D156:D162"/>
    <mergeCell ref="E156:E162"/>
    <mergeCell ref="G142:G148"/>
    <mergeCell ref="S142:S148"/>
    <mergeCell ref="T142:T147"/>
    <mergeCell ref="U142:U147"/>
    <mergeCell ref="V142:V147"/>
    <mergeCell ref="A149:A155"/>
    <mergeCell ref="B149:B155"/>
    <mergeCell ref="C149:C155"/>
    <mergeCell ref="D149:D155"/>
    <mergeCell ref="E149:E155"/>
    <mergeCell ref="A135:A141"/>
    <mergeCell ref="B135:B141"/>
    <mergeCell ref="C135:C141"/>
    <mergeCell ref="D135:D141"/>
    <mergeCell ref="E135:E141"/>
    <mergeCell ref="G135:G141"/>
    <mergeCell ref="S135:S141"/>
    <mergeCell ref="T135:T140"/>
    <mergeCell ref="U135:U140"/>
    <mergeCell ref="V121:V126"/>
    <mergeCell ref="A128:A134"/>
    <mergeCell ref="B128:B134"/>
    <mergeCell ref="C128:C134"/>
    <mergeCell ref="D128:D134"/>
    <mergeCell ref="E128:E134"/>
    <mergeCell ref="G128:G134"/>
    <mergeCell ref="S128:S134"/>
    <mergeCell ref="T128:T133"/>
    <mergeCell ref="U128:U133"/>
    <mergeCell ref="V128:V133"/>
    <mergeCell ref="A121:A127"/>
    <mergeCell ref="B121:B127"/>
    <mergeCell ref="C121:C127"/>
    <mergeCell ref="D121:D127"/>
    <mergeCell ref="E121:E127"/>
    <mergeCell ref="G121:G127"/>
    <mergeCell ref="S121:S127"/>
    <mergeCell ref="T121:T126"/>
    <mergeCell ref="U121:U126"/>
    <mergeCell ref="V107:V112"/>
    <mergeCell ref="A114:A120"/>
    <mergeCell ref="B114:B120"/>
    <mergeCell ref="C114:C120"/>
    <mergeCell ref="D114:D120"/>
    <mergeCell ref="E114:E120"/>
    <mergeCell ref="G114:G120"/>
    <mergeCell ref="S114:S120"/>
    <mergeCell ref="T114:T119"/>
    <mergeCell ref="U114:U119"/>
    <mergeCell ref="V114:V119"/>
    <mergeCell ref="A107:A113"/>
    <mergeCell ref="B107:B113"/>
    <mergeCell ref="C107:C113"/>
    <mergeCell ref="D107:D113"/>
    <mergeCell ref="E107:E113"/>
    <mergeCell ref="G107:G113"/>
    <mergeCell ref="S107:S113"/>
    <mergeCell ref="T107:T112"/>
    <mergeCell ref="U107:U112"/>
    <mergeCell ref="V93:V98"/>
    <mergeCell ref="A100:A106"/>
    <mergeCell ref="B100:B106"/>
    <mergeCell ref="C100:C106"/>
    <mergeCell ref="D100:D106"/>
    <mergeCell ref="E100:E106"/>
    <mergeCell ref="G100:G106"/>
    <mergeCell ref="S100:S106"/>
    <mergeCell ref="T100:T105"/>
    <mergeCell ref="U100:U105"/>
    <mergeCell ref="V100:V105"/>
    <mergeCell ref="A93:A99"/>
    <mergeCell ref="B93:B99"/>
    <mergeCell ref="C93:C99"/>
    <mergeCell ref="D93:D99"/>
    <mergeCell ref="E93:E99"/>
    <mergeCell ref="G93:G99"/>
    <mergeCell ref="S93:S99"/>
    <mergeCell ref="T93:T98"/>
    <mergeCell ref="U93:U98"/>
    <mergeCell ref="V80:V85"/>
    <mergeCell ref="A87:A92"/>
    <mergeCell ref="B87:B92"/>
    <mergeCell ref="C87:C92"/>
    <mergeCell ref="D87:D92"/>
    <mergeCell ref="E87:E92"/>
    <mergeCell ref="G87:G92"/>
    <mergeCell ref="S87:S92"/>
    <mergeCell ref="T87:T91"/>
    <mergeCell ref="U87:U91"/>
    <mergeCell ref="V87:V91"/>
    <mergeCell ref="A80:A86"/>
    <mergeCell ref="B80:B86"/>
    <mergeCell ref="C80:C86"/>
    <mergeCell ref="D80:D86"/>
    <mergeCell ref="E80:E86"/>
    <mergeCell ref="G80:G86"/>
    <mergeCell ref="S80:S86"/>
    <mergeCell ref="T80:T85"/>
    <mergeCell ref="U80:U85"/>
    <mergeCell ref="V67:V72"/>
    <mergeCell ref="A74:A79"/>
    <mergeCell ref="B74:B79"/>
    <mergeCell ref="C74:C79"/>
    <mergeCell ref="D74:D79"/>
    <mergeCell ref="E74:E79"/>
    <mergeCell ref="G74:G79"/>
    <mergeCell ref="S74:S79"/>
    <mergeCell ref="T74:T78"/>
    <mergeCell ref="U74:U78"/>
    <mergeCell ref="V74:V78"/>
    <mergeCell ref="A67:A73"/>
    <mergeCell ref="B67:B73"/>
    <mergeCell ref="C67:C73"/>
    <mergeCell ref="D67:D73"/>
    <mergeCell ref="E67:E73"/>
    <mergeCell ref="G67:G73"/>
    <mergeCell ref="S67:S73"/>
    <mergeCell ref="T67:T72"/>
    <mergeCell ref="U67:U72"/>
    <mergeCell ref="V55:V59"/>
    <mergeCell ref="A61:A66"/>
    <mergeCell ref="B61:B66"/>
    <mergeCell ref="C61:C66"/>
    <mergeCell ref="D61:D66"/>
    <mergeCell ref="E61:E66"/>
    <mergeCell ref="G61:G66"/>
    <mergeCell ref="S61:S66"/>
    <mergeCell ref="T61:T65"/>
    <mergeCell ref="U61:U65"/>
    <mergeCell ref="V61:V65"/>
    <mergeCell ref="A55:A60"/>
    <mergeCell ref="B55:B60"/>
    <mergeCell ref="C55:C60"/>
    <mergeCell ref="D55:D60"/>
    <mergeCell ref="E55:E60"/>
    <mergeCell ref="G55:G60"/>
    <mergeCell ref="S55:S60"/>
    <mergeCell ref="T55:T59"/>
    <mergeCell ref="U55:U59"/>
    <mergeCell ref="S29:S34"/>
    <mergeCell ref="T29:T33"/>
    <mergeCell ref="U29:U33"/>
    <mergeCell ref="V42:V46"/>
    <mergeCell ref="A48:A54"/>
    <mergeCell ref="B48:B54"/>
    <mergeCell ref="C48:C54"/>
    <mergeCell ref="D48:D54"/>
    <mergeCell ref="E48:E54"/>
    <mergeCell ref="G48:G54"/>
    <mergeCell ref="S48:S54"/>
    <mergeCell ref="T48:T53"/>
    <mergeCell ref="U48:U53"/>
    <mergeCell ref="V48:V53"/>
    <mergeCell ref="A42:A47"/>
    <mergeCell ref="B42:B47"/>
    <mergeCell ref="C42:C47"/>
    <mergeCell ref="D42:D47"/>
    <mergeCell ref="E42:E47"/>
    <mergeCell ref="G42:G47"/>
    <mergeCell ref="S42:S47"/>
    <mergeCell ref="T42:T46"/>
    <mergeCell ref="U42:U46"/>
    <mergeCell ref="V23:V27"/>
    <mergeCell ref="A11:V11"/>
    <mergeCell ref="A12:V12"/>
    <mergeCell ref="B13:V13"/>
    <mergeCell ref="C14:V14"/>
    <mergeCell ref="A15:A22"/>
    <mergeCell ref="B15:B22"/>
    <mergeCell ref="V29:V33"/>
    <mergeCell ref="A35:A41"/>
    <mergeCell ref="B35:B41"/>
    <mergeCell ref="C35:C41"/>
    <mergeCell ref="D35:D41"/>
    <mergeCell ref="E35:E41"/>
    <mergeCell ref="G35:G41"/>
    <mergeCell ref="S35:S41"/>
    <mergeCell ref="T35:T40"/>
    <mergeCell ref="U35:U40"/>
    <mergeCell ref="V35:V40"/>
    <mergeCell ref="A29:A34"/>
    <mergeCell ref="B29:B34"/>
    <mergeCell ref="C29:C34"/>
    <mergeCell ref="D29:D34"/>
    <mergeCell ref="E29:E34"/>
    <mergeCell ref="G29:G34"/>
    <mergeCell ref="A23:A28"/>
    <mergeCell ref="B23:B28"/>
    <mergeCell ref="C23:C28"/>
    <mergeCell ref="D23:D28"/>
    <mergeCell ref="E23:E28"/>
    <mergeCell ref="G23:G28"/>
    <mergeCell ref="S23:S28"/>
    <mergeCell ref="T23:T27"/>
    <mergeCell ref="U23:U27"/>
    <mergeCell ref="M9:M10"/>
    <mergeCell ref="N9:O9"/>
    <mergeCell ref="P9:P10"/>
    <mergeCell ref="G15:G22"/>
    <mergeCell ref="S15:S22"/>
    <mergeCell ref="T15:T21"/>
    <mergeCell ref="U15:U21"/>
    <mergeCell ref="V15:V21"/>
    <mergeCell ref="I9:I10"/>
    <mergeCell ref="J9:K9"/>
    <mergeCell ref="L9:L10"/>
    <mergeCell ref="C15:C22"/>
    <mergeCell ref="D15:D22"/>
    <mergeCell ref="E15:E22"/>
    <mergeCell ref="R1:V1"/>
    <mergeCell ref="R2:V2"/>
    <mergeCell ref="R3:V3"/>
    <mergeCell ref="A4:V4"/>
    <mergeCell ref="A5:V5"/>
    <mergeCell ref="A6:V6"/>
    <mergeCell ref="A7:V7"/>
    <mergeCell ref="A8:A10"/>
    <mergeCell ref="B8:B10"/>
    <mergeCell ref="C8:C10"/>
    <mergeCell ref="D8:D10"/>
    <mergeCell ref="E8:E10"/>
    <mergeCell ref="G8:G10"/>
    <mergeCell ref="H8:H10"/>
    <mergeCell ref="I8:L8"/>
    <mergeCell ref="M8:P8"/>
    <mergeCell ref="S9:S10"/>
    <mergeCell ref="Q8:Q10"/>
    <mergeCell ref="R8:R10"/>
    <mergeCell ref="S8:U8"/>
    <mergeCell ref="V8:V10"/>
  </mergeCells>
  <conditionalFormatting sqref="S8 V8">
    <cfRule type="cellIs" dxfId="86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7" firstPageNumber="6" orientation="landscape" useFirstPageNumber="1" r:id="rId1"/>
  <headerFooter alignWithMargins="0">
    <oddHeader>&amp;C&amp;P</oddHeader>
    <firstHeader xml:space="preserve">&amp;C6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opLeftCell="A10" zoomScaleNormal="100" workbookViewId="0">
      <selection activeCell="I10" sqref="I10"/>
    </sheetView>
  </sheetViews>
  <sheetFormatPr defaultRowHeight="15.75" outlineLevelRow="1" x14ac:dyDescent="0.2"/>
  <cols>
    <col min="1" max="1" width="5.5703125" style="399" customWidth="1"/>
    <col min="2" max="2" width="5" style="399" customWidth="1"/>
    <col min="3" max="3" width="4" style="399" customWidth="1"/>
    <col min="4" max="4" width="23.28515625" style="741" customWidth="1"/>
    <col min="5" max="5" width="10.28515625" style="399" customWidth="1"/>
    <col min="6" max="6" width="7.28515625" style="399" customWidth="1"/>
    <col min="7" max="7" width="10.42578125" style="399" customWidth="1"/>
    <col min="8" max="8" width="8.28515625" style="399" customWidth="1"/>
    <col min="9" max="11" width="8.85546875" style="399" customWidth="1"/>
    <col min="12" max="12" width="10.28515625" style="399" customWidth="1"/>
    <col min="13" max="13" width="11.7109375" style="399" customWidth="1"/>
    <col min="14" max="14" width="10.140625" style="399" customWidth="1"/>
    <col min="15" max="15" width="10.28515625" style="399" customWidth="1"/>
    <col min="16" max="16" width="11" style="399" customWidth="1"/>
    <col min="17" max="17" width="9.85546875" style="399" customWidth="1"/>
    <col min="18" max="18" width="21.5703125" style="399" customWidth="1"/>
    <col min="19" max="19" width="6.85546875" style="399" customWidth="1"/>
    <col min="20" max="20" width="6.7109375" style="399" customWidth="1"/>
    <col min="21" max="21" width="19.140625" style="399" customWidth="1"/>
    <col min="22" max="22" width="9.140625" style="399" customWidth="1"/>
    <col min="23" max="29" width="9.140625" style="399" hidden="1" customWidth="1"/>
    <col min="30" max="31" width="9.140625" style="399" customWidth="1"/>
    <col min="32" max="256" width="9.140625" style="399"/>
    <col min="257" max="257" width="5.5703125" style="399" customWidth="1"/>
    <col min="258" max="258" width="5" style="399" customWidth="1"/>
    <col min="259" max="259" width="4" style="399" customWidth="1"/>
    <col min="260" max="260" width="23.28515625" style="399" customWidth="1"/>
    <col min="261" max="261" width="10.28515625" style="399" customWidth="1"/>
    <col min="262" max="262" width="7.28515625" style="399" customWidth="1"/>
    <col min="263" max="263" width="10.42578125" style="399" customWidth="1"/>
    <col min="264" max="264" width="8.28515625" style="399" customWidth="1"/>
    <col min="265" max="267" width="8.85546875" style="399" customWidth="1"/>
    <col min="268" max="268" width="10.28515625" style="399" customWidth="1"/>
    <col min="269" max="269" width="11.7109375" style="399" customWidth="1"/>
    <col min="270" max="270" width="10.140625" style="399" customWidth="1"/>
    <col min="271" max="271" width="10.28515625" style="399" customWidth="1"/>
    <col min="272" max="272" width="11" style="399" customWidth="1"/>
    <col min="273" max="273" width="9.85546875" style="399" customWidth="1"/>
    <col min="274" max="274" width="21.5703125" style="399" customWidth="1"/>
    <col min="275" max="275" width="6.85546875" style="399" customWidth="1"/>
    <col min="276" max="276" width="6.7109375" style="399" customWidth="1"/>
    <col min="277" max="277" width="19.140625" style="399" customWidth="1"/>
    <col min="278" max="278" width="9.140625" style="399" customWidth="1"/>
    <col min="279" max="285" width="0" style="399" hidden="1" customWidth="1"/>
    <col min="286" max="287" width="9.140625" style="399" customWidth="1"/>
    <col min="288" max="512" width="9.140625" style="399"/>
    <col min="513" max="513" width="5.5703125" style="399" customWidth="1"/>
    <col min="514" max="514" width="5" style="399" customWidth="1"/>
    <col min="515" max="515" width="4" style="399" customWidth="1"/>
    <col min="516" max="516" width="23.28515625" style="399" customWidth="1"/>
    <col min="517" max="517" width="10.28515625" style="399" customWidth="1"/>
    <col min="518" max="518" width="7.28515625" style="399" customWidth="1"/>
    <col min="519" max="519" width="10.42578125" style="399" customWidth="1"/>
    <col min="520" max="520" width="8.28515625" style="399" customWidth="1"/>
    <col min="521" max="523" width="8.85546875" style="399" customWidth="1"/>
    <col min="524" max="524" width="10.28515625" style="399" customWidth="1"/>
    <col min="525" max="525" width="11.7109375" style="399" customWidth="1"/>
    <col min="526" max="526" width="10.140625" style="399" customWidth="1"/>
    <col min="527" max="527" width="10.28515625" style="399" customWidth="1"/>
    <col min="528" max="528" width="11" style="399" customWidth="1"/>
    <col min="529" max="529" width="9.85546875" style="399" customWidth="1"/>
    <col min="530" max="530" width="21.5703125" style="399" customWidth="1"/>
    <col min="531" max="531" width="6.85546875" style="399" customWidth="1"/>
    <col min="532" max="532" width="6.7109375" style="399" customWidth="1"/>
    <col min="533" max="533" width="19.140625" style="399" customWidth="1"/>
    <col min="534" max="534" width="9.140625" style="399" customWidth="1"/>
    <col min="535" max="541" width="0" style="399" hidden="1" customWidth="1"/>
    <col min="542" max="543" width="9.140625" style="399" customWidth="1"/>
    <col min="544" max="768" width="9.140625" style="399"/>
    <col min="769" max="769" width="5.5703125" style="399" customWidth="1"/>
    <col min="770" max="770" width="5" style="399" customWidth="1"/>
    <col min="771" max="771" width="4" style="399" customWidth="1"/>
    <col min="772" max="772" width="23.28515625" style="399" customWidth="1"/>
    <col min="773" max="773" width="10.28515625" style="399" customWidth="1"/>
    <col min="774" max="774" width="7.28515625" style="399" customWidth="1"/>
    <col min="775" max="775" width="10.42578125" style="399" customWidth="1"/>
    <col min="776" max="776" width="8.28515625" style="399" customWidth="1"/>
    <col min="777" max="779" width="8.85546875" style="399" customWidth="1"/>
    <col min="780" max="780" width="10.28515625" style="399" customWidth="1"/>
    <col min="781" max="781" width="11.7109375" style="399" customWidth="1"/>
    <col min="782" max="782" width="10.140625" style="399" customWidth="1"/>
    <col min="783" max="783" width="10.28515625" style="399" customWidth="1"/>
    <col min="784" max="784" width="11" style="399" customWidth="1"/>
    <col min="785" max="785" width="9.85546875" style="399" customWidth="1"/>
    <col min="786" max="786" width="21.5703125" style="399" customWidth="1"/>
    <col min="787" max="787" width="6.85546875" style="399" customWidth="1"/>
    <col min="788" max="788" width="6.7109375" style="399" customWidth="1"/>
    <col min="789" max="789" width="19.140625" style="399" customWidth="1"/>
    <col min="790" max="790" width="9.140625" style="399" customWidth="1"/>
    <col min="791" max="797" width="0" style="399" hidden="1" customWidth="1"/>
    <col min="798" max="799" width="9.140625" style="399" customWidth="1"/>
    <col min="800" max="1024" width="9.140625" style="399"/>
    <col min="1025" max="1025" width="5.5703125" style="399" customWidth="1"/>
    <col min="1026" max="1026" width="5" style="399" customWidth="1"/>
    <col min="1027" max="1027" width="4" style="399" customWidth="1"/>
    <col min="1028" max="1028" width="23.28515625" style="399" customWidth="1"/>
    <col min="1029" max="1029" width="10.28515625" style="399" customWidth="1"/>
    <col min="1030" max="1030" width="7.28515625" style="399" customWidth="1"/>
    <col min="1031" max="1031" width="10.42578125" style="399" customWidth="1"/>
    <col min="1032" max="1032" width="8.28515625" style="399" customWidth="1"/>
    <col min="1033" max="1035" width="8.85546875" style="399" customWidth="1"/>
    <col min="1036" max="1036" width="10.28515625" style="399" customWidth="1"/>
    <col min="1037" max="1037" width="11.7109375" style="399" customWidth="1"/>
    <col min="1038" max="1038" width="10.140625" style="399" customWidth="1"/>
    <col min="1039" max="1039" width="10.28515625" style="399" customWidth="1"/>
    <col min="1040" max="1040" width="11" style="399" customWidth="1"/>
    <col min="1041" max="1041" width="9.85546875" style="399" customWidth="1"/>
    <col min="1042" max="1042" width="21.5703125" style="399" customWidth="1"/>
    <col min="1043" max="1043" width="6.85546875" style="399" customWidth="1"/>
    <col min="1044" max="1044" width="6.7109375" style="399" customWidth="1"/>
    <col min="1045" max="1045" width="19.140625" style="399" customWidth="1"/>
    <col min="1046" max="1046" width="9.140625" style="399" customWidth="1"/>
    <col min="1047" max="1053" width="0" style="399" hidden="1" customWidth="1"/>
    <col min="1054" max="1055" width="9.140625" style="399" customWidth="1"/>
    <col min="1056" max="1280" width="9.140625" style="399"/>
    <col min="1281" max="1281" width="5.5703125" style="399" customWidth="1"/>
    <col min="1282" max="1282" width="5" style="399" customWidth="1"/>
    <col min="1283" max="1283" width="4" style="399" customWidth="1"/>
    <col min="1284" max="1284" width="23.28515625" style="399" customWidth="1"/>
    <col min="1285" max="1285" width="10.28515625" style="399" customWidth="1"/>
    <col min="1286" max="1286" width="7.28515625" style="399" customWidth="1"/>
    <col min="1287" max="1287" width="10.42578125" style="399" customWidth="1"/>
    <col min="1288" max="1288" width="8.28515625" style="399" customWidth="1"/>
    <col min="1289" max="1291" width="8.85546875" style="399" customWidth="1"/>
    <col min="1292" max="1292" width="10.28515625" style="399" customWidth="1"/>
    <col min="1293" max="1293" width="11.7109375" style="399" customWidth="1"/>
    <col min="1294" max="1294" width="10.140625" style="399" customWidth="1"/>
    <col min="1295" max="1295" width="10.28515625" style="399" customWidth="1"/>
    <col min="1296" max="1296" width="11" style="399" customWidth="1"/>
    <col min="1297" max="1297" width="9.85546875" style="399" customWidth="1"/>
    <col min="1298" max="1298" width="21.5703125" style="399" customWidth="1"/>
    <col min="1299" max="1299" width="6.85546875" style="399" customWidth="1"/>
    <col min="1300" max="1300" width="6.7109375" style="399" customWidth="1"/>
    <col min="1301" max="1301" width="19.140625" style="399" customWidth="1"/>
    <col min="1302" max="1302" width="9.140625" style="399" customWidth="1"/>
    <col min="1303" max="1309" width="0" style="399" hidden="1" customWidth="1"/>
    <col min="1310" max="1311" width="9.140625" style="399" customWidth="1"/>
    <col min="1312" max="1536" width="9.140625" style="399"/>
    <col min="1537" max="1537" width="5.5703125" style="399" customWidth="1"/>
    <col min="1538" max="1538" width="5" style="399" customWidth="1"/>
    <col min="1539" max="1539" width="4" style="399" customWidth="1"/>
    <col min="1540" max="1540" width="23.28515625" style="399" customWidth="1"/>
    <col min="1541" max="1541" width="10.28515625" style="399" customWidth="1"/>
    <col min="1542" max="1542" width="7.28515625" style="399" customWidth="1"/>
    <col min="1543" max="1543" width="10.42578125" style="399" customWidth="1"/>
    <col min="1544" max="1544" width="8.28515625" style="399" customWidth="1"/>
    <col min="1545" max="1547" width="8.85546875" style="399" customWidth="1"/>
    <col min="1548" max="1548" width="10.28515625" style="399" customWidth="1"/>
    <col min="1549" max="1549" width="11.7109375" style="399" customWidth="1"/>
    <col min="1550" max="1550" width="10.140625" style="399" customWidth="1"/>
    <col min="1551" max="1551" width="10.28515625" style="399" customWidth="1"/>
    <col min="1552" max="1552" width="11" style="399" customWidth="1"/>
    <col min="1553" max="1553" width="9.85546875" style="399" customWidth="1"/>
    <col min="1554" max="1554" width="21.5703125" style="399" customWidth="1"/>
    <col min="1555" max="1555" width="6.85546875" style="399" customWidth="1"/>
    <col min="1556" max="1556" width="6.7109375" style="399" customWidth="1"/>
    <col min="1557" max="1557" width="19.140625" style="399" customWidth="1"/>
    <col min="1558" max="1558" width="9.140625" style="399" customWidth="1"/>
    <col min="1559" max="1565" width="0" style="399" hidden="1" customWidth="1"/>
    <col min="1566" max="1567" width="9.140625" style="399" customWidth="1"/>
    <col min="1568" max="1792" width="9.140625" style="399"/>
    <col min="1793" max="1793" width="5.5703125" style="399" customWidth="1"/>
    <col min="1794" max="1794" width="5" style="399" customWidth="1"/>
    <col min="1795" max="1795" width="4" style="399" customWidth="1"/>
    <col min="1796" max="1796" width="23.28515625" style="399" customWidth="1"/>
    <col min="1797" max="1797" width="10.28515625" style="399" customWidth="1"/>
    <col min="1798" max="1798" width="7.28515625" style="399" customWidth="1"/>
    <col min="1799" max="1799" width="10.42578125" style="399" customWidth="1"/>
    <col min="1800" max="1800" width="8.28515625" style="399" customWidth="1"/>
    <col min="1801" max="1803" width="8.85546875" style="399" customWidth="1"/>
    <col min="1804" max="1804" width="10.28515625" style="399" customWidth="1"/>
    <col min="1805" max="1805" width="11.7109375" style="399" customWidth="1"/>
    <col min="1806" max="1806" width="10.140625" style="399" customWidth="1"/>
    <col min="1807" max="1807" width="10.28515625" style="399" customWidth="1"/>
    <col min="1808" max="1808" width="11" style="399" customWidth="1"/>
    <col min="1809" max="1809" width="9.85546875" style="399" customWidth="1"/>
    <col min="1810" max="1810" width="21.5703125" style="399" customWidth="1"/>
    <col min="1811" max="1811" width="6.85546875" style="399" customWidth="1"/>
    <col min="1812" max="1812" width="6.7109375" style="399" customWidth="1"/>
    <col min="1813" max="1813" width="19.140625" style="399" customWidth="1"/>
    <col min="1814" max="1814" width="9.140625" style="399" customWidth="1"/>
    <col min="1815" max="1821" width="0" style="399" hidden="1" customWidth="1"/>
    <col min="1822" max="1823" width="9.140625" style="399" customWidth="1"/>
    <col min="1824" max="2048" width="9.140625" style="399"/>
    <col min="2049" max="2049" width="5.5703125" style="399" customWidth="1"/>
    <col min="2050" max="2050" width="5" style="399" customWidth="1"/>
    <col min="2051" max="2051" width="4" style="399" customWidth="1"/>
    <col min="2052" max="2052" width="23.28515625" style="399" customWidth="1"/>
    <col min="2053" max="2053" width="10.28515625" style="399" customWidth="1"/>
    <col min="2054" max="2054" width="7.28515625" style="399" customWidth="1"/>
    <col min="2055" max="2055" width="10.42578125" style="399" customWidth="1"/>
    <col min="2056" max="2056" width="8.28515625" style="399" customWidth="1"/>
    <col min="2057" max="2059" width="8.85546875" style="399" customWidth="1"/>
    <col min="2060" max="2060" width="10.28515625" style="399" customWidth="1"/>
    <col min="2061" max="2061" width="11.7109375" style="399" customWidth="1"/>
    <col min="2062" max="2062" width="10.140625" style="399" customWidth="1"/>
    <col min="2063" max="2063" width="10.28515625" style="399" customWidth="1"/>
    <col min="2064" max="2064" width="11" style="399" customWidth="1"/>
    <col min="2065" max="2065" width="9.85546875" style="399" customWidth="1"/>
    <col min="2066" max="2066" width="21.5703125" style="399" customWidth="1"/>
    <col min="2067" max="2067" width="6.85546875" style="399" customWidth="1"/>
    <col min="2068" max="2068" width="6.7109375" style="399" customWidth="1"/>
    <col min="2069" max="2069" width="19.140625" style="399" customWidth="1"/>
    <col min="2070" max="2070" width="9.140625" style="399" customWidth="1"/>
    <col min="2071" max="2077" width="0" style="399" hidden="1" customWidth="1"/>
    <col min="2078" max="2079" width="9.140625" style="399" customWidth="1"/>
    <col min="2080" max="2304" width="9.140625" style="399"/>
    <col min="2305" max="2305" width="5.5703125" style="399" customWidth="1"/>
    <col min="2306" max="2306" width="5" style="399" customWidth="1"/>
    <col min="2307" max="2307" width="4" style="399" customWidth="1"/>
    <col min="2308" max="2308" width="23.28515625" style="399" customWidth="1"/>
    <col min="2309" max="2309" width="10.28515625" style="399" customWidth="1"/>
    <col min="2310" max="2310" width="7.28515625" style="399" customWidth="1"/>
    <col min="2311" max="2311" width="10.42578125" style="399" customWidth="1"/>
    <col min="2312" max="2312" width="8.28515625" style="399" customWidth="1"/>
    <col min="2313" max="2315" width="8.85546875" style="399" customWidth="1"/>
    <col min="2316" max="2316" width="10.28515625" style="399" customWidth="1"/>
    <col min="2317" max="2317" width="11.7109375" style="399" customWidth="1"/>
    <col min="2318" max="2318" width="10.140625" style="399" customWidth="1"/>
    <col min="2319" max="2319" width="10.28515625" style="399" customWidth="1"/>
    <col min="2320" max="2320" width="11" style="399" customWidth="1"/>
    <col min="2321" max="2321" width="9.85546875" style="399" customWidth="1"/>
    <col min="2322" max="2322" width="21.5703125" style="399" customWidth="1"/>
    <col min="2323" max="2323" width="6.85546875" style="399" customWidth="1"/>
    <col min="2324" max="2324" width="6.7109375" style="399" customWidth="1"/>
    <col min="2325" max="2325" width="19.140625" style="399" customWidth="1"/>
    <col min="2326" max="2326" width="9.140625" style="399" customWidth="1"/>
    <col min="2327" max="2333" width="0" style="399" hidden="1" customWidth="1"/>
    <col min="2334" max="2335" width="9.140625" style="399" customWidth="1"/>
    <col min="2336" max="2560" width="9.140625" style="399"/>
    <col min="2561" max="2561" width="5.5703125" style="399" customWidth="1"/>
    <col min="2562" max="2562" width="5" style="399" customWidth="1"/>
    <col min="2563" max="2563" width="4" style="399" customWidth="1"/>
    <col min="2564" max="2564" width="23.28515625" style="399" customWidth="1"/>
    <col min="2565" max="2565" width="10.28515625" style="399" customWidth="1"/>
    <col min="2566" max="2566" width="7.28515625" style="399" customWidth="1"/>
    <col min="2567" max="2567" width="10.42578125" style="399" customWidth="1"/>
    <col min="2568" max="2568" width="8.28515625" style="399" customWidth="1"/>
    <col min="2569" max="2571" width="8.85546875" style="399" customWidth="1"/>
    <col min="2572" max="2572" width="10.28515625" style="399" customWidth="1"/>
    <col min="2573" max="2573" width="11.7109375" style="399" customWidth="1"/>
    <col min="2574" max="2574" width="10.140625" style="399" customWidth="1"/>
    <col min="2575" max="2575" width="10.28515625" style="399" customWidth="1"/>
    <col min="2576" max="2576" width="11" style="399" customWidth="1"/>
    <col min="2577" max="2577" width="9.85546875" style="399" customWidth="1"/>
    <col min="2578" max="2578" width="21.5703125" style="399" customWidth="1"/>
    <col min="2579" max="2579" width="6.85546875" style="399" customWidth="1"/>
    <col min="2580" max="2580" width="6.7109375" style="399" customWidth="1"/>
    <col min="2581" max="2581" width="19.140625" style="399" customWidth="1"/>
    <col min="2582" max="2582" width="9.140625" style="399" customWidth="1"/>
    <col min="2583" max="2589" width="0" style="399" hidden="1" customWidth="1"/>
    <col min="2590" max="2591" width="9.140625" style="399" customWidth="1"/>
    <col min="2592" max="2816" width="9.140625" style="399"/>
    <col min="2817" max="2817" width="5.5703125" style="399" customWidth="1"/>
    <col min="2818" max="2818" width="5" style="399" customWidth="1"/>
    <col min="2819" max="2819" width="4" style="399" customWidth="1"/>
    <col min="2820" max="2820" width="23.28515625" style="399" customWidth="1"/>
    <col min="2821" max="2821" width="10.28515625" style="399" customWidth="1"/>
    <col min="2822" max="2822" width="7.28515625" style="399" customWidth="1"/>
    <col min="2823" max="2823" width="10.42578125" style="399" customWidth="1"/>
    <col min="2824" max="2824" width="8.28515625" style="399" customWidth="1"/>
    <col min="2825" max="2827" width="8.85546875" style="399" customWidth="1"/>
    <col min="2828" max="2828" width="10.28515625" style="399" customWidth="1"/>
    <col min="2829" max="2829" width="11.7109375" style="399" customWidth="1"/>
    <col min="2830" max="2830" width="10.140625" style="399" customWidth="1"/>
    <col min="2831" max="2831" width="10.28515625" style="399" customWidth="1"/>
    <col min="2832" max="2832" width="11" style="399" customWidth="1"/>
    <col min="2833" max="2833" width="9.85546875" style="399" customWidth="1"/>
    <col min="2834" max="2834" width="21.5703125" style="399" customWidth="1"/>
    <col min="2835" max="2835" width="6.85546875" style="399" customWidth="1"/>
    <col min="2836" max="2836" width="6.7109375" style="399" customWidth="1"/>
    <col min="2837" max="2837" width="19.140625" style="399" customWidth="1"/>
    <col min="2838" max="2838" width="9.140625" style="399" customWidth="1"/>
    <col min="2839" max="2845" width="0" style="399" hidden="1" customWidth="1"/>
    <col min="2846" max="2847" width="9.140625" style="399" customWidth="1"/>
    <col min="2848" max="3072" width="9.140625" style="399"/>
    <col min="3073" max="3073" width="5.5703125" style="399" customWidth="1"/>
    <col min="3074" max="3074" width="5" style="399" customWidth="1"/>
    <col min="3075" max="3075" width="4" style="399" customWidth="1"/>
    <col min="3076" max="3076" width="23.28515625" style="399" customWidth="1"/>
    <col min="3077" max="3077" width="10.28515625" style="399" customWidth="1"/>
    <col min="3078" max="3078" width="7.28515625" style="399" customWidth="1"/>
    <col min="3079" max="3079" width="10.42578125" style="399" customWidth="1"/>
    <col min="3080" max="3080" width="8.28515625" style="399" customWidth="1"/>
    <col min="3081" max="3083" width="8.85546875" style="399" customWidth="1"/>
    <col min="3084" max="3084" width="10.28515625" style="399" customWidth="1"/>
    <col min="3085" max="3085" width="11.7109375" style="399" customWidth="1"/>
    <col min="3086" max="3086" width="10.140625" style="399" customWidth="1"/>
    <col min="3087" max="3087" width="10.28515625" style="399" customWidth="1"/>
    <col min="3088" max="3088" width="11" style="399" customWidth="1"/>
    <col min="3089" max="3089" width="9.85546875" style="399" customWidth="1"/>
    <col min="3090" max="3090" width="21.5703125" style="399" customWidth="1"/>
    <col min="3091" max="3091" width="6.85546875" style="399" customWidth="1"/>
    <col min="3092" max="3092" width="6.7109375" style="399" customWidth="1"/>
    <col min="3093" max="3093" width="19.140625" style="399" customWidth="1"/>
    <col min="3094" max="3094" width="9.140625" style="399" customWidth="1"/>
    <col min="3095" max="3101" width="0" style="399" hidden="1" customWidth="1"/>
    <col min="3102" max="3103" width="9.140625" style="399" customWidth="1"/>
    <col min="3104" max="3328" width="9.140625" style="399"/>
    <col min="3329" max="3329" width="5.5703125" style="399" customWidth="1"/>
    <col min="3330" max="3330" width="5" style="399" customWidth="1"/>
    <col min="3331" max="3331" width="4" style="399" customWidth="1"/>
    <col min="3332" max="3332" width="23.28515625" style="399" customWidth="1"/>
    <col min="3333" max="3333" width="10.28515625" style="399" customWidth="1"/>
    <col min="3334" max="3334" width="7.28515625" style="399" customWidth="1"/>
    <col min="3335" max="3335" width="10.42578125" style="399" customWidth="1"/>
    <col min="3336" max="3336" width="8.28515625" style="399" customWidth="1"/>
    <col min="3337" max="3339" width="8.85546875" style="399" customWidth="1"/>
    <col min="3340" max="3340" width="10.28515625" style="399" customWidth="1"/>
    <col min="3341" max="3341" width="11.7109375" style="399" customWidth="1"/>
    <col min="3342" max="3342" width="10.140625" style="399" customWidth="1"/>
    <col min="3343" max="3343" width="10.28515625" style="399" customWidth="1"/>
    <col min="3344" max="3344" width="11" style="399" customWidth="1"/>
    <col min="3345" max="3345" width="9.85546875" style="399" customWidth="1"/>
    <col min="3346" max="3346" width="21.5703125" style="399" customWidth="1"/>
    <col min="3347" max="3347" width="6.85546875" style="399" customWidth="1"/>
    <col min="3348" max="3348" width="6.7109375" style="399" customWidth="1"/>
    <col min="3349" max="3349" width="19.140625" style="399" customWidth="1"/>
    <col min="3350" max="3350" width="9.140625" style="399" customWidth="1"/>
    <col min="3351" max="3357" width="0" style="399" hidden="1" customWidth="1"/>
    <col min="3358" max="3359" width="9.140625" style="399" customWidth="1"/>
    <col min="3360" max="3584" width="9.140625" style="399"/>
    <col min="3585" max="3585" width="5.5703125" style="399" customWidth="1"/>
    <col min="3586" max="3586" width="5" style="399" customWidth="1"/>
    <col min="3587" max="3587" width="4" style="399" customWidth="1"/>
    <col min="3588" max="3588" width="23.28515625" style="399" customWidth="1"/>
    <col min="3589" max="3589" width="10.28515625" style="399" customWidth="1"/>
    <col min="3590" max="3590" width="7.28515625" style="399" customWidth="1"/>
    <col min="3591" max="3591" width="10.42578125" style="399" customWidth="1"/>
    <col min="3592" max="3592" width="8.28515625" style="399" customWidth="1"/>
    <col min="3593" max="3595" width="8.85546875" style="399" customWidth="1"/>
    <col min="3596" max="3596" width="10.28515625" style="399" customWidth="1"/>
    <col min="3597" max="3597" width="11.7109375" style="399" customWidth="1"/>
    <col min="3598" max="3598" width="10.140625" style="399" customWidth="1"/>
    <col min="3599" max="3599" width="10.28515625" style="399" customWidth="1"/>
    <col min="3600" max="3600" width="11" style="399" customWidth="1"/>
    <col min="3601" max="3601" width="9.85546875" style="399" customWidth="1"/>
    <col min="3602" max="3602" width="21.5703125" style="399" customWidth="1"/>
    <col min="3603" max="3603" width="6.85546875" style="399" customWidth="1"/>
    <col min="3604" max="3604" width="6.7109375" style="399" customWidth="1"/>
    <col min="3605" max="3605" width="19.140625" style="399" customWidth="1"/>
    <col min="3606" max="3606" width="9.140625" style="399" customWidth="1"/>
    <col min="3607" max="3613" width="0" style="399" hidden="1" customWidth="1"/>
    <col min="3614" max="3615" width="9.140625" style="399" customWidth="1"/>
    <col min="3616" max="3840" width="9.140625" style="399"/>
    <col min="3841" max="3841" width="5.5703125" style="399" customWidth="1"/>
    <col min="3842" max="3842" width="5" style="399" customWidth="1"/>
    <col min="3843" max="3843" width="4" style="399" customWidth="1"/>
    <col min="3844" max="3844" width="23.28515625" style="399" customWidth="1"/>
    <col min="3845" max="3845" width="10.28515625" style="399" customWidth="1"/>
    <col min="3846" max="3846" width="7.28515625" style="399" customWidth="1"/>
    <col min="3847" max="3847" width="10.42578125" style="399" customWidth="1"/>
    <col min="3848" max="3848" width="8.28515625" style="399" customWidth="1"/>
    <col min="3849" max="3851" width="8.85546875" style="399" customWidth="1"/>
    <col min="3852" max="3852" width="10.28515625" style="399" customWidth="1"/>
    <col min="3853" max="3853" width="11.7109375" style="399" customWidth="1"/>
    <col min="3854" max="3854" width="10.140625" style="399" customWidth="1"/>
    <col min="3855" max="3855" width="10.28515625" style="399" customWidth="1"/>
    <col min="3856" max="3856" width="11" style="399" customWidth="1"/>
    <col min="3857" max="3857" width="9.85546875" style="399" customWidth="1"/>
    <col min="3858" max="3858" width="21.5703125" style="399" customWidth="1"/>
    <col min="3859" max="3859" width="6.85546875" style="399" customWidth="1"/>
    <col min="3860" max="3860" width="6.7109375" style="399" customWidth="1"/>
    <col min="3861" max="3861" width="19.140625" style="399" customWidth="1"/>
    <col min="3862" max="3862" width="9.140625" style="399" customWidth="1"/>
    <col min="3863" max="3869" width="0" style="399" hidden="1" customWidth="1"/>
    <col min="3870" max="3871" width="9.140625" style="399" customWidth="1"/>
    <col min="3872" max="4096" width="9.140625" style="399"/>
    <col min="4097" max="4097" width="5.5703125" style="399" customWidth="1"/>
    <col min="4098" max="4098" width="5" style="399" customWidth="1"/>
    <col min="4099" max="4099" width="4" style="399" customWidth="1"/>
    <col min="4100" max="4100" width="23.28515625" style="399" customWidth="1"/>
    <col min="4101" max="4101" width="10.28515625" style="399" customWidth="1"/>
    <col min="4102" max="4102" width="7.28515625" style="399" customWidth="1"/>
    <col min="4103" max="4103" width="10.42578125" style="399" customWidth="1"/>
    <col min="4104" max="4104" width="8.28515625" style="399" customWidth="1"/>
    <col min="4105" max="4107" width="8.85546875" style="399" customWidth="1"/>
    <col min="4108" max="4108" width="10.28515625" style="399" customWidth="1"/>
    <col min="4109" max="4109" width="11.7109375" style="399" customWidth="1"/>
    <col min="4110" max="4110" width="10.140625" style="399" customWidth="1"/>
    <col min="4111" max="4111" width="10.28515625" style="399" customWidth="1"/>
    <col min="4112" max="4112" width="11" style="399" customWidth="1"/>
    <col min="4113" max="4113" width="9.85546875" style="399" customWidth="1"/>
    <col min="4114" max="4114" width="21.5703125" style="399" customWidth="1"/>
    <col min="4115" max="4115" width="6.85546875" style="399" customWidth="1"/>
    <col min="4116" max="4116" width="6.7109375" style="399" customWidth="1"/>
    <col min="4117" max="4117" width="19.140625" style="399" customWidth="1"/>
    <col min="4118" max="4118" width="9.140625" style="399" customWidth="1"/>
    <col min="4119" max="4125" width="0" style="399" hidden="1" customWidth="1"/>
    <col min="4126" max="4127" width="9.140625" style="399" customWidth="1"/>
    <col min="4128" max="4352" width="9.140625" style="399"/>
    <col min="4353" max="4353" width="5.5703125" style="399" customWidth="1"/>
    <col min="4354" max="4354" width="5" style="399" customWidth="1"/>
    <col min="4355" max="4355" width="4" style="399" customWidth="1"/>
    <col min="4356" max="4356" width="23.28515625" style="399" customWidth="1"/>
    <col min="4357" max="4357" width="10.28515625" style="399" customWidth="1"/>
    <col min="4358" max="4358" width="7.28515625" style="399" customWidth="1"/>
    <col min="4359" max="4359" width="10.42578125" style="399" customWidth="1"/>
    <col min="4360" max="4360" width="8.28515625" style="399" customWidth="1"/>
    <col min="4361" max="4363" width="8.85546875" style="399" customWidth="1"/>
    <col min="4364" max="4364" width="10.28515625" style="399" customWidth="1"/>
    <col min="4365" max="4365" width="11.7109375" style="399" customWidth="1"/>
    <col min="4366" max="4366" width="10.140625" style="399" customWidth="1"/>
    <col min="4367" max="4367" width="10.28515625" style="399" customWidth="1"/>
    <col min="4368" max="4368" width="11" style="399" customWidth="1"/>
    <col min="4369" max="4369" width="9.85546875" style="399" customWidth="1"/>
    <col min="4370" max="4370" width="21.5703125" style="399" customWidth="1"/>
    <col min="4371" max="4371" width="6.85546875" style="399" customWidth="1"/>
    <col min="4372" max="4372" width="6.7109375" style="399" customWidth="1"/>
    <col min="4373" max="4373" width="19.140625" style="399" customWidth="1"/>
    <col min="4374" max="4374" width="9.140625" style="399" customWidth="1"/>
    <col min="4375" max="4381" width="0" style="399" hidden="1" customWidth="1"/>
    <col min="4382" max="4383" width="9.140625" style="399" customWidth="1"/>
    <col min="4384" max="4608" width="9.140625" style="399"/>
    <col min="4609" max="4609" width="5.5703125" style="399" customWidth="1"/>
    <col min="4610" max="4610" width="5" style="399" customWidth="1"/>
    <col min="4611" max="4611" width="4" style="399" customWidth="1"/>
    <col min="4612" max="4612" width="23.28515625" style="399" customWidth="1"/>
    <col min="4613" max="4613" width="10.28515625" style="399" customWidth="1"/>
    <col min="4614" max="4614" width="7.28515625" style="399" customWidth="1"/>
    <col min="4615" max="4615" width="10.42578125" style="399" customWidth="1"/>
    <col min="4616" max="4616" width="8.28515625" style="399" customWidth="1"/>
    <col min="4617" max="4619" width="8.85546875" style="399" customWidth="1"/>
    <col min="4620" max="4620" width="10.28515625" style="399" customWidth="1"/>
    <col min="4621" max="4621" width="11.7109375" style="399" customWidth="1"/>
    <col min="4622" max="4622" width="10.140625" style="399" customWidth="1"/>
    <col min="4623" max="4623" width="10.28515625" style="399" customWidth="1"/>
    <col min="4624" max="4624" width="11" style="399" customWidth="1"/>
    <col min="4625" max="4625" width="9.85546875" style="399" customWidth="1"/>
    <col min="4626" max="4626" width="21.5703125" style="399" customWidth="1"/>
    <col min="4627" max="4627" width="6.85546875" style="399" customWidth="1"/>
    <col min="4628" max="4628" width="6.7109375" style="399" customWidth="1"/>
    <col min="4629" max="4629" width="19.140625" style="399" customWidth="1"/>
    <col min="4630" max="4630" width="9.140625" style="399" customWidth="1"/>
    <col min="4631" max="4637" width="0" style="399" hidden="1" customWidth="1"/>
    <col min="4638" max="4639" width="9.140625" style="399" customWidth="1"/>
    <col min="4640" max="4864" width="9.140625" style="399"/>
    <col min="4865" max="4865" width="5.5703125" style="399" customWidth="1"/>
    <col min="4866" max="4866" width="5" style="399" customWidth="1"/>
    <col min="4867" max="4867" width="4" style="399" customWidth="1"/>
    <col min="4868" max="4868" width="23.28515625" style="399" customWidth="1"/>
    <col min="4869" max="4869" width="10.28515625" style="399" customWidth="1"/>
    <col min="4870" max="4870" width="7.28515625" style="399" customWidth="1"/>
    <col min="4871" max="4871" width="10.42578125" style="399" customWidth="1"/>
    <col min="4872" max="4872" width="8.28515625" style="399" customWidth="1"/>
    <col min="4873" max="4875" width="8.85546875" style="399" customWidth="1"/>
    <col min="4876" max="4876" width="10.28515625" style="399" customWidth="1"/>
    <col min="4877" max="4877" width="11.7109375" style="399" customWidth="1"/>
    <col min="4878" max="4878" width="10.140625" style="399" customWidth="1"/>
    <col min="4879" max="4879" width="10.28515625" style="399" customWidth="1"/>
    <col min="4880" max="4880" width="11" style="399" customWidth="1"/>
    <col min="4881" max="4881" width="9.85546875" style="399" customWidth="1"/>
    <col min="4882" max="4882" width="21.5703125" style="399" customWidth="1"/>
    <col min="4883" max="4883" width="6.85546875" style="399" customWidth="1"/>
    <col min="4884" max="4884" width="6.7109375" style="399" customWidth="1"/>
    <col min="4885" max="4885" width="19.140625" style="399" customWidth="1"/>
    <col min="4886" max="4886" width="9.140625" style="399" customWidth="1"/>
    <col min="4887" max="4893" width="0" style="399" hidden="1" customWidth="1"/>
    <col min="4894" max="4895" width="9.140625" style="399" customWidth="1"/>
    <col min="4896" max="5120" width="9.140625" style="399"/>
    <col min="5121" max="5121" width="5.5703125" style="399" customWidth="1"/>
    <col min="5122" max="5122" width="5" style="399" customWidth="1"/>
    <col min="5123" max="5123" width="4" style="399" customWidth="1"/>
    <col min="5124" max="5124" width="23.28515625" style="399" customWidth="1"/>
    <col min="5125" max="5125" width="10.28515625" style="399" customWidth="1"/>
    <col min="5126" max="5126" width="7.28515625" style="399" customWidth="1"/>
    <col min="5127" max="5127" width="10.42578125" style="399" customWidth="1"/>
    <col min="5128" max="5128" width="8.28515625" style="399" customWidth="1"/>
    <col min="5129" max="5131" width="8.85546875" style="399" customWidth="1"/>
    <col min="5132" max="5132" width="10.28515625" style="399" customWidth="1"/>
    <col min="5133" max="5133" width="11.7109375" style="399" customWidth="1"/>
    <col min="5134" max="5134" width="10.140625" style="399" customWidth="1"/>
    <col min="5135" max="5135" width="10.28515625" style="399" customWidth="1"/>
    <col min="5136" max="5136" width="11" style="399" customWidth="1"/>
    <col min="5137" max="5137" width="9.85546875" style="399" customWidth="1"/>
    <col min="5138" max="5138" width="21.5703125" style="399" customWidth="1"/>
    <col min="5139" max="5139" width="6.85546875" style="399" customWidth="1"/>
    <col min="5140" max="5140" width="6.7109375" style="399" customWidth="1"/>
    <col min="5141" max="5141" width="19.140625" style="399" customWidth="1"/>
    <col min="5142" max="5142" width="9.140625" style="399" customWidth="1"/>
    <col min="5143" max="5149" width="0" style="399" hidden="1" customWidth="1"/>
    <col min="5150" max="5151" width="9.140625" style="399" customWidth="1"/>
    <col min="5152" max="5376" width="9.140625" style="399"/>
    <col min="5377" max="5377" width="5.5703125" style="399" customWidth="1"/>
    <col min="5378" max="5378" width="5" style="399" customWidth="1"/>
    <col min="5379" max="5379" width="4" style="399" customWidth="1"/>
    <col min="5380" max="5380" width="23.28515625" style="399" customWidth="1"/>
    <col min="5381" max="5381" width="10.28515625" style="399" customWidth="1"/>
    <col min="5382" max="5382" width="7.28515625" style="399" customWidth="1"/>
    <col min="5383" max="5383" width="10.42578125" style="399" customWidth="1"/>
    <col min="5384" max="5384" width="8.28515625" style="399" customWidth="1"/>
    <col min="5385" max="5387" width="8.85546875" style="399" customWidth="1"/>
    <col min="5388" max="5388" width="10.28515625" style="399" customWidth="1"/>
    <col min="5389" max="5389" width="11.7109375" style="399" customWidth="1"/>
    <col min="5390" max="5390" width="10.140625" style="399" customWidth="1"/>
    <col min="5391" max="5391" width="10.28515625" style="399" customWidth="1"/>
    <col min="5392" max="5392" width="11" style="399" customWidth="1"/>
    <col min="5393" max="5393" width="9.85546875" style="399" customWidth="1"/>
    <col min="5394" max="5394" width="21.5703125" style="399" customWidth="1"/>
    <col min="5395" max="5395" width="6.85546875" style="399" customWidth="1"/>
    <col min="5396" max="5396" width="6.7109375" style="399" customWidth="1"/>
    <col min="5397" max="5397" width="19.140625" style="399" customWidth="1"/>
    <col min="5398" max="5398" width="9.140625" style="399" customWidth="1"/>
    <col min="5399" max="5405" width="0" style="399" hidden="1" customWidth="1"/>
    <col min="5406" max="5407" width="9.140625" style="399" customWidth="1"/>
    <col min="5408" max="5632" width="9.140625" style="399"/>
    <col min="5633" max="5633" width="5.5703125" style="399" customWidth="1"/>
    <col min="5634" max="5634" width="5" style="399" customWidth="1"/>
    <col min="5635" max="5635" width="4" style="399" customWidth="1"/>
    <col min="5636" max="5636" width="23.28515625" style="399" customWidth="1"/>
    <col min="5637" max="5637" width="10.28515625" style="399" customWidth="1"/>
    <col min="5638" max="5638" width="7.28515625" style="399" customWidth="1"/>
    <col min="5639" max="5639" width="10.42578125" style="399" customWidth="1"/>
    <col min="5640" max="5640" width="8.28515625" style="399" customWidth="1"/>
    <col min="5641" max="5643" width="8.85546875" style="399" customWidth="1"/>
    <col min="5644" max="5644" width="10.28515625" style="399" customWidth="1"/>
    <col min="5645" max="5645" width="11.7109375" style="399" customWidth="1"/>
    <col min="5646" max="5646" width="10.140625" style="399" customWidth="1"/>
    <col min="5647" max="5647" width="10.28515625" style="399" customWidth="1"/>
    <col min="5648" max="5648" width="11" style="399" customWidth="1"/>
    <col min="5649" max="5649" width="9.85546875" style="399" customWidth="1"/>
    <col min="5650" max="5650" width="21.5703125" style="399" customWidth="1"/>
    <col min="5651" max="5651" width="6.85546875" style="399" customWidth="1"/>
    <col min="5652" max="5652" width="6.7109375" style="399" customWidth="1"/>
    <col min="5653" max="5653" width="19.140625" style="399" customWidth="1"/>
    <col min="5654" max="5654" width="9.140625" style="399" customWidth="1"/>
    <col min="5655" max="5661" width="0" style="399" hidden="1" customWidth="1"/>
    <col min="5662" max="5663" width="9.140625" style="399" customWidth="1"/>
    <col min="5664" max="5888" width="9.140625" style="399"/>
    <col min="5889" max="5889" width="5.5703125" style="399" customWidth="1"/>
    <col min="5890" max="5890" width="5" style="399" customWidth="1"/>
    <col min="5891" max="5891" width="4" style="399" customWidth="1"/>
    <col min="5892" max="5892" width="23.28515625" style="399" customWidth="1"/>
    <col min="5893" max="5893" width="10.28515625" style="399" customWidth="1"/>
    <col min="5894" max="5894" width="7.28515625" style="399" customWidth="1"/>
    <col min="5895" max="5895" width="10.42578125" style="399" customWidth="1"/>
    <col min="5896" max="5896" width="8.28515625" style="399" customWidth="1"/>
    <col min="5897" max="5899" width="8.85546875" style="399" customWidth="1"/>
    <col min="5900" max="5900" width="10.28515625" style="399" customWidth="1"/>
    <col min="5901" max="5901" width="11.7109375" style="399" customWidth="1"/>
    <col min="5902" max="5902" width="10.140625" style="399" customWidth="1"/>
    <col min="5903" max="5903" width="10.28515625" style="399" customWidth="1"/>
    <col min="5904" max="5904" width="11" style="399" customWidth="1"/>
    <col min="5905" max="5905" width="9.85546875" style="399" customWidth="1"/>
    <col min="5906" max="5906" width="21.5703125" style="399" customWidth="1"/>
    <col min="5907" max="5907" width="6.85546875" style="399" customWidth="1"/>
    <col min="5908" max="5908" width="6.7109375" style="399" customWidth="1"/>
    <col min="5909" max="5909" width="19.140625" style="399" customWidth="1"/>
    <col min="5910" max="5910" width="9.140625" style="399" customWidth="1"/>
    <col min="5911" max="5917" width="0" style="399" hidden="1" customWidth="1"/>
    <col min="5918" max="5919" width="9.140625" style="399" customWidth="1"/>
    <col min="5920" max="6144" width="9.140625" style="399"/>
    <col min="6145" max="6145" width="5.5703125" style="399" customWidth="1"/>
    <col min="6146" max="6146" width="5" style="399" customWidth="1"/>
    <col min="6147" max="6147" width="4" style="399" customWidth="1"/>
    <col min="6148" max="6148" width="23.28515625" style="399" customWidth="1"/>
    <col min="6149" max="6149" width="10.28515625" style="399" customWidth="1"/>
    <col min="6150" max="6150" width="7.28515625" style="399" customWidth="1"/>
    <col min="6151" max="6151" width="10.42578125" style="399" customWidth="1"/>
    <col min="6152" max="6152" width="8.28515625" style="399" customWidth="1"/>
    <col min="6153" max="6155" width="8.85546875" style="399" customWidth="1"/>
    <col min="6156" max="6156" width="10.28515625" style="399" customWidth="1"/>
    <col min="6157" max="6157" width="11.7109375" style="399" customWidth="1"/>
    <col min="6158" max="6158" width="10.140625" style="399" customWidth="1"/>
    <col min="6159" max="6159" width="10.28515625" style="399" customWidth="1"/>
    <col min="6160" max="6160" width="11" style="399" customWidth="1"/>
    <col min="6161" max="6161" width="9.85546875" style="399" customWidth="1"/>
    <col min="6162" max="6162" width="21.5703125" style="399" customWidth="1"/>
    <col min="6163" max="6163" width="6.85546875" style="399" customWidth="1"/>
    <col min="6164" max="6164" width="6.7109375" style="399" customWidth="1"/>
    <col min="6165" max="6165" width="19.140625" style="399" customWidth="1"/>
    <col min="6166" max="6166" width="9.140625" style="399" customWidth="1"/>
    <col min="6167" max="6173" width="0" style="399" hidden="1" customWidth="1"/>
    <col min="6174" max="6175" width="9.140625" style="399" customWidth="1"/>
    <col min="6176" max="6400" width="9.140625" style="399"/>
    <col min="6401" max="6401" width="5.5703125" style="399" customWidth="1"/>
    <col min="6402" max="6402" width="5" style="399" customWidth="1"/>
    <col min="6403" max="6403" width="4" style="399" customWidth="1"/>
    <col min="6404" max="6404" width="23.28515625" style="399" customWidth="1"/>
    <col min="6405" max="6405" width="10.28515625" style="399" customWidth="1"/>
    <col min="6406" max="6406" width="7.28515625" style="399" customWidth="1"/>
    <col min="6407" max="6407" width="10.42578125" style="399" customWidth="1"/>
    <col min="6408" max="6408" width="8.28515625" style="399" customWidth="1"/>
    <col min="6409" max="6411" width="8.85546875" style="399" customWidth="1"/>
    <col min="6412" max="6412" width="10.28515625" style="399" customWidth="1"/>
    <col min="6413" max="6413" width="11.7109375" style="399" customWidth="1"/>
    <col min="6414" max="6414" width="10.140625" style="399" customWidth="1"/>
    <col min="6415" max="6415" width="10.28515625" style="399" customWidth="1"/>
    <col min="6416" max="6416" width="11" style="399" customWidth="1"/>
    <col min="6417" max="6417" width="9.85546875" style="399" customWidth="1"/>
    <col min="6418" max="6418" width="21.5703125" style="399" customWidth="1"/>
    <col min="6419" max="6419" width="6.85546875" style="399" customWidth="1"/>
    <col min="6420" max="6420" width="6.7109375" style="399" customWidth="1"/>
    <col min="6421" max="6421" width="19.140625" style="399" customWidth="1"/>
    <col min="6422" max="6422" width="9.140625" style="399" customWidth="1"/>
    <col min="6423" max="6429" width="0" style="399" hidden="1" customWidth="1"/>
    <col min="6430" max="6431" width="9.140625" style="399" customWidth="1"/>
    <col min="6432" max="6656" width="9.140625" style="399"/>
    <col min="6657" max="6657" width="5.5703125" style="399" customWidth="1"/>
    <col min="6658" max="6658" width="5" style="399" customWidth="1"/>
    <col min="6659" max="6659" width="4" style="399" customWidth="1"/>
    <col min="6660" max="6660" width="23.28515625" style="399" customWidth="1"/>
    <col min="6661" max="6661" width="10.28515625" style="399" customWidth="1"/>
    <col min="6662" max="6662" width="7.28515625" style="399" customWidth="1"/>
    <col min="6663" max="6663" width="10.42578125" style="399" customWidth="1"/>
    <col min="6664" max="6664" width="8.28515625" style="399" customWidth="1"/>
    <col min="6665" max="6667" width="8.85546875" style="399" customWidth="1"/>
    <col min="6668" max="6668" width="10.28515625" style="399" customWidth="1"/>
    <col min="6669" max="6669" width="11.7109375" style="399" customWidth="1"/>
    <col min="6670" max="6670" width="10.140625" style="399" customWidth="1"/>
    <col min="6671" max="6671" width="10.28515625" style="399" customWidth="1"/>
    <col min="6672" max="6672" width="11" style="399" customWidth="1"/>
    <col min="6673" max="6673" width="9.85546875" style="399" customWidth="1"/>
    <col min="6674" max="6674" width="21.5703125" style="399" customWidth="1"/>
    <col min="6675" max="6675" width="6.85546875" style="399" customWidth="1"/>
    <col min="6676" max="6676" width="6.7109375" style="399" customWidth="1"/>
    <col min="6677" max="6677" width="19.140625" style="399" customWidth="1"/>
    <col min="6678" max="6678" width="9.140625" style="399" customWidth="1"/>
    <col min="6679" max="6685" width="0" style="399" hidden="1" customWidth="1"/>
    <col min="6686" max="6687" width="9.140625" style="399" customWidth="1"/>
    <col min="6688" max="6912" width="9.140625" style="399"/>
    <col min="6913" max="6913" width="5.5703125" style="399" customWidth="1"/>
    <col min="6914" max="6914" width="5" style="399" customWidth="1"/>
    <col min="6915" max="6915" width="4" style="399" customWidth="1"/>
    <col min="6916" max="6916" width="23.28515625" style="399" customWidth="1"/>
    <col min="6917" max="6917" width="10.28515625" style="399" customWidth="1"/>
    <col min="6918" max="6918" width="7.28515625" style="399" customWidth="1"/>
    <col min="6919" max="6919" width="10.42578125" style="399" customWidth="1"/>
    <col min="6920" max="6920" width="8.28515625" style="399" customWidth="1"/>
    <col min="6921" max="6923" width="8.85546875" style="399" customWidth="1"/>
    <col min="6924" max="6924" width="10.28515625" style="399" customWidth="1"/>
    <col min="6925" max="6925" width="11.7109375" style="399" customWidth="1"/>
    <col min="6926" max="6926" width="10.140625" style="399" customWidth="1"/>
    <col min="6927" max="6927" width="10.28515625" style="399" customWidth="1"/>
    <col min="6928" max="6928" width="11" style="399" customWidth="1"/>
    <col min="6929" max="6929" width="9.85546875" style="399" customWidth="1"/>
    <col min="6930" max="6930" width="21.5703125" style="399" customWidth="1"/>
    <col min="6931" max="6931" width="6.85546875" style="399" customWidth="1"/>
    <col min="6932" max="6932" width="6.7109375" style="399" customWidth="1"/>
    <col min="6933" max="6933" width="19.140625" style="399" customWidth="1"/>
    <col min="6934" max="6934" width="9.140625" style="399" customWidth="1"/>
    <col min="6935" max="6941" width="0" style="399" hidden="1" customWidth="1"/>
    <col min="6942" max="6943" width="9.140625" style="399" customWidth="1"/>
    <col min="6944" max="7168" width="9.140625" style="399"/>
    <col min="7169" max="7169" width="5.5703125" style="399" customWidth="1"/>
    <col min="7170" max="7170" width="5" style="399" customWidth="1"/>
    <col min="7171" max="7171" width="4" style="399" customWidth="1"/>
    <col min="7172" max="7172" width="23.28515625" style="399" customWidth="1"/>
    <col min="7173" max="7173" width="10.28515625" style="399" customWidth="1"/>
    <col min="7174" max="7174" width="7.28515625" style="399" customWidth="1"/>
    <col min="7175" max="7175" width="10.42578125" style="399" customWidth="1"/>
    <col min="7176" max="7176" width="8.28515625" style="399" customWidth="1"/>
    <col min="7177" max="7179" width="8.85546875" style="399" customWidth="1"/>
    <col min="7180" max="7180" width="10.28515625" style="399" customWidth="1"/>
    <col min="7181" max="7181" width="11.7109375" style="399" customWidth="1"/>
    <col min="7182" max="7182" width="10.140625" style="399" customWidth="1"/>
    <col min="7183" max="7183" width="10.28515625" style="399" customWidth="1"/>
    <col min="7184" max="7184" width="11" style="399" customWidth="1"/>
    <col min="7185" max="7185" width="9.85546875" style="399" customWidth="1"/>
    <col min="7186" max="7186" width="21.5703125" style="399" customWidth="1"/>
    <col min="7187" max="7187" width="6.85546875" style="399" customWidth="1"/>
    <col min="7188" max="7188" width="6.7109375" style="399" customWidth="1"/>
    <col min="7189" max="7189" width="19.140625" style="399" customWidth="1"/>
    <col min="7190" max="7190" width="9.140625" style="399" customWidth="1"/>
    <col min="7191" max="7197" width="0" style="399" hidden="1" customWidth="1"/>
    <col min="7198" max="7199" width="9.140625" style="399" customWidth="1"/>
    <col min="7200" max="7424" width="9.140625" style="399"/>
    <col min="7425" max="7425" width="5.5703125" style="399" customWidth="1"/>
    <col min="7426" max="7426" width="5" style="399" customWidth="1"/>
    <col min="7427" max="7427" width="4" style="399" customWidth="1"/>
    <col min="7428" max="7428" width="23.28515625" style="399" customWidth="1"/>
    <col min="7429" max="7429" width="10.28515625" style="399" customWidth="1"/>
    <col min="7430" max="7430" width="7.28515625" style="399" customWidth="1"/>
    <col min="7431" max="7431" width="10.42578125" style="399" customWidth="1"/>
    <col min="7432" max="7432" width="8.28515625" style="399" customWidth="1"/>
    <col min="7433" max="7435" width="8.85546875" style="399" customWidth="1"/>
    <col min="7436" max="7436" width="10.28515625" style="399" customWidth="1"/>
    <col min="7437" max="7437" width="11.7109375" style="399" customWidth="1"/>
    <col min="7438" max="7438" width="10.140625" style="399" customWidth="1"/>
    <col min="7439" max="7439" width="10.28515625" style="399" customWidth="1"/>
    <col min="7440" max="7440" width="11" style="399" customWidth="1"/>
    <col min="7441" max="7441" width="9.85546875" style="399" customWidth="1"/>
    <col min="7442" max="7442" width="21.5703125" style="399" customWidth="1"/>
    <col min="7443" max="7443" width="6.85546875" style="399" customWidth="1"/>
    <col min="7444" max="7444" width="6.7109375" style="399" customWidth="1"/>
    <col min="7445" max="7445" width="19.140625" style="399" customWidth="1"/>
    <col min="7446" max="7446" width="9.140625" style="399" customWidth="1"/>
    <col min="7447" max="7453" width="0" style="399" hidden="1" customWidth="1"/>
    <col min="7454" max="7455" width="9.140625" style="399" customWidth="1"/>
    <col min="7456" max="7680" width="9.140625" style="399"/>
    <col min="7681" max="7681" width="5.5703125" style="399" customWidth="1"/>
    <col min="7682" max="7682" width="5" style="399" customWidth="1"/>
    <col min="7683" max="7683" width="4" style="399" customWidth="1"/>
    <col min="7684" max="7684" width="23.28515625" style="399" customWidth="1"/>
    <col min="7685" max="7685" width="10.28515625" style="399" customWidth="1"/>
    <col min="7686" max="7686" width="7.28515625" style="399" customWidth="1"/>
    <col min="7687" max="7687" width="10.42578125" style="399" customWidth="1"/>
    <col min="7688" max="7688" width="8.28515625" style="399" customWidth="1"/>
    <col min="7689" max="7691" width="8.85546875" style="399" customWidth="1"/>
    <col min="7692" max="7692" width="10.28515625" style="399" customWidth="1"/>
    <col min="7693" max="7693" width="11.7109375" style="399" customWidth="1"/>
    <col min="7694" max="7694" width="10.140625" style="399" customWidth="1"/>
    <col min="7695" max="7695" width="10.28515625" style="399" customWidth="1"/>
    <col min="7696" max="7696" width="11" style="399" customWidth="1"/>
    <col min="7697" max="7697" width="9.85546875" style="399" customWidth="1"/>
    <col min="7698" max="7698" width="21.5703125" style="399" customWidth="1"/>
    <col min="7699" max="7699" width="6.85546875" style="399" customWidth="1"/>
    <col min="7700" max="7700" width="6.7109375" style="399" customWidth="1"/>
    <col min="7701" max="7701" width="19.140625" style="399" customWidth="1"/>
    <col min="7702" max="7702" width="9.140625" style="399" customWidth="1"/>
    <col min="7703" max="7709" width="0" style="399" hidden="1" customWidth="1"/>
    <col min="7710" max="7711" width="9.140625" style="399" customWidth="1"/>
    <col min="7712" max="7936" width="9.140625" style="399"/>
    <col min="7937" max="7937" width="5.5703125" style="399" customWidth="1"/>
    <col min="7938" max="7938" width="5" style="399" customWidth="1"/>
    <col min="7939" max="7939" width="4" style="399" customWidth="1"/>
    <col min="7940" max="7940" width="23.28515625" style="399" customWidth="1"/>
    <col min="7941" max="7941" width="10.28515625" style="399" customWidth="1"/>
    <col min="7942" max="7942" width="7.28515625" style="399" customWidth="1"/>
    <col min="7943" max="7943" width="10.42578125" style="399" customWidth="1"/>
    <col min="7944" max="7944" width="8.28515625" style="399" customWidth="1"/>
    <col min="7945" max="7947" width="8.85546875" style="399" customWidth="1"/>
    <col min="7948" max="7948" width="10.28515625" style="399" customWidth="1"/>
    <col min="7949" max="7949" width="11.7109375" style="399" customWidth="1"/>
    <col min="7950" max="7950" width="10.140625" style="399" customWidth="1"/>
    <col min="7951" max="7951" width="10.28515625" style="399" customWidth="1"/>
    <col min="7952" max="7952" width="11" style="399" customWidth="1"/>
    <col min="7953" max="7953" width="9.85546875" style="399" customWidth="1"/>
    <col min="7954" max="7954" width="21.5703125" style="399" customWidth="1"/>
    <col min="7955" max="7955" width="6.85546875" style="399" customWidth="1"/>
    <col min="7956" max="7956" width="6.7109375" style="399" customWidth="1"/>
    <col min="7957" max="7957" width="19.140625" style="399" customWidth="1"/>
    <col min="7958" max="7958" width="9.140625" style="399" customWidth="1"/>
    <col min="7959" max="7965" width="0" style="399" hidden="1" customWidth="1"/>
    <col min="7966" max="7967" width="9.140625" style="399" customWidth="1"/>
    <col min="7968" max="8192" width="9.140625" style="399"/>
    <col min="8193" max="8193" width="5.5703125" style="399" customWidth="1"/>
    <col min="8194" max="8194" width="5" style="399" customWidth="1"/>
    <col min="8195" max="8195" width="4" style="399" customWidth="1"/>
    <col min="8196" max="8196" width="23.28515625" style="399" customWidth="1"/>
    <col min="8197" max="8197" width="10.28515625" style="399" customWidth="1"/>
    <col min="8198" max="8198" width="7.28515625" style="399" customWidth="1"/>
    <col min="8199" max="8199" width="10.42578125" style="399" customWidth="1"/>
    <col min="8200" max="8200" width="8.28515625" style="399" customWidth="1"/>
    <col min="8201" max="8203" width="8.85546875" style="399" customWidth="1"/>
    <col min="8204" max="8204" width="10.28515625" style="399" customWidth="1"/>
    <col min="8205" max="8205" width="11.7109375" style="399" customWidth="1"/>
    <col min="8206" max="8206" width="10.140625" style="399" customWidth="1"/>
    <col min="8207" max="8207" width="10.28515625" style="399" customWidth="1"/>
    <col min="8208" max="8208" width="11" style="399" customWidth="1"/>
    <col min="8209" max="8209" width="9.85546875" style="399" customWidth="1"/>
    <col min="8210" max="8210" width="21.5703125" style="399" customWidth="1"/>
    <col min="8211" max="8211" width="6.85546875" style="399" customWidth="1"/>
    <col min="8212" max="8212" width="6.7109375" style="399" customWidth="1"/>
    <col min="8213" max="8213" width="19.140625" style="399" customWidth="1"/>
    <col min="8214" max="8214" width="9.140625" style="399" customWidth="1"/>
    <col min="8215" max="8221" width="0" style="399" hidden="1" customWidth="1"/>
    <col min="8222" max="8223" width="9.140625" style="399" customWidth="1"/>
    <col min="8224" max="8448" width="9.140625" style="399"/>
    <col min="8449" max="8449" width="5.5703125" style="399" customWidth="1"/>
    <col min="8450" max="8450" width="5" style="399" customWidth="1"/>
    <col min="8451" max="8451" width="4" style="399" customWidth="1"/>
    <col min="8452" max="8452" width="23.28515625" style="399" customWidth="1"/>
    <col min="8453" max="8453" width="10.28515625" style="399" customWidth="1"/>
    <col min="8454" max="8454" width="7.28515625" style="399" customWidth="1"/>
    <col min="8455" max="8455" width="10.42578125" style="399" customWidth="1"/>
    <col min="8456" max="8456" width="8.28515625" style="399" customWidth="1"/>
    <col min="8457" max="8459" width="8.85546875" style="399" customWidth="1"/>
    <col min="8460" max="8460" width="10.28515625" style="399" customWidth="1"/>
    <col min="8461" max="8461" width="11.7109375" style="399" customWidth="1"/>
    <col min="8462" max="8462" width="10.140625" style="399" customWidth="1"/>
    <col min="8463" max="8463" width="10.28515625" style="399" customWidth="1"/>
    <col min="8464" max="8464" width="11" style="399" customWidth="1"/>
    <col min="8465" max="8465" width="9.85546875" style="399" customWidth="1"/>
    <col min="8466" max="8466" width="21.5703125" style="399" customWidth="1"/>
    <col min="8467" max="8467" width="6.85546875" style="399" customWidth="1"/>
    <col min="8468" max="8468" width="6.7109375" style="399" customWidth="1"/>
    <col min="8469" max="8469" width="19.140625" style="399" customWidth="1"/>
    <col min="8470" max="8470" width="9.140625" style="399" customWidth="1"/>
    <col min="8471" max="8477" width="0" style="399" hidden="1" customWidth="1"/>
    <col min="8478" max="8479" width="9.140625" style="399" customWidth="1"/>
    <col min="8480" max="8704" width="9.140625" style="399"/>
    <col min="8705" max="8705" width="5.5703125" style="399" customWidth="1"/>
    <col min="8706" max="8706" width="5" style="399" customWidth="1"/>
    <col min="8707" max="8707" width="4" style="399" customWidth="1"/>
    <col min="8708" max="8708" width="23.28515625" style="399" customWidth="1"/>
    <col min="8709" max="8709" width="10.28515625" style="399" customWidth="1"/>
    <col min="8710" max="8710" width="7.28515625" style="399" customWidth="1"/>
    <col min="8711" max="8711" width="10.42578125" style="399" customWidth="1"/>
    <col min="8712" max="8712" width="8.28515625" style="399" customWidth="1"/>
    <col min="8713" max="8715" width="8.85546875" style="399" customWidth="1"/>
    <col min="8716" max="8716" width="10.28515625" style="399" customWidth="1"/>
    <col min="8717" max="8717" width="11.7109375" style="399" customWidth="1"/>
    <col min="8718" max="8718" width="10.140625" style="399" customWidth="1"/>
    <col min="8719" max="8719" width="10.28515625" style="399" customWidth="1"/>
    <col min="8720" max="8720" width="11" style="399" customWidth="1"/>
    <col min="8721" max="8721" width="9.85546875" style="399" customWidth="1"/>
    <col min="8722" max="8722" width="21.5703125" style="399" customWidth="1"/>
    <col min="8723" max="8723" width="6.85546875" style="399" customWidth="1"/>
    <col min="8724" max="8724" width="6.7109375" style="399" customWidth="1"/>
    <col min="8725" max="8725" width="19.140625" style="399" customWidth="1"/>
    <col min="8726" max="8726" width="9.140625" style="399" customWidth="1"/>
    <col min="8727" max="8733" width="0" style="399" hidden="1" customWidth="1"/>
    <col min="8734" max="8735" width="9.140625" style="399" customWidth="1"/>
    <col min="8736" max="8960" width="9.140625" style="399"/>
    <col min="8961" max="8961" width="5.5703125" style="399" customWidth="1"/>
    <col min="8962" max="8962" width="5" style="399" customWidth="1"/>
    <col min="8963" max="8963" width="4" style="399" customWidth="1"/>
    <col min="8964" max="8964" width="23.28515625" style="399" customWidth="1"/>
    <col min="8965" max="8965" width="10.28515625" style="399" customWidth="1"/>
    <col min="8966" max="8966" width="7.28515625" style="399" customWidth="1"/>
    <col min="8967" max="8967" width="10.42578125" style="399" customWidth="1"/>
    <col min="8968" max="8968" width="8.28515625" style="399" customWidth="1"/>
    <col min="8969" max="8971" width="8.85546875" style="399" customWidth="1"/>
    <col min="8972" max="8972" width="10.28515625" style="399" customWidth="1"/>
    <col min="8973" max="8973" width="11.7109375" style="399" customWidth="1"/>
    <col min="8974" max="8974" width="10.140625" style="399" customWidth="1"/>
    <col min="8975" max="8975" width="10.28515625" style="399" customWidth="1"/>
    <col min="8976" max="8976" width="11" style="399" customWidth="1"/>
    <col min="8977" max="8977" width="9.85546875" style="399" customWidth="1"/>
    <col min="8978" max="8978" width="21.5703125" style="399" customWidth="1"/>
    <col min="8979" max="8979" width="6.85546875" style="399" customWidth="1"/>
    <col min="8980" max="8980" width="6.7109375" style="399" customWidth="1"/>
    <col min="8981" max="8981" width="19.140625" style="399" customWidth="1"/>
    <col min="8982" max="8982" width="9.140625" style="399" customWidth="1"/>
    <col min="8983" max="8989" width="0" style="399" hidden="1" customWidth="1"/>
    <col min="8990" max="8991" width="9.140625" style="399" customWidth="1"/>
    <col min="8992" max="9216" width="9.140625" style="399"/>
    <col min="9217" max="9217" width="5.5703125" style="399" customWidth="1"/>
    <col min="9218" max="9218" width="5" style="399" customWidth="1"/>
    <col min="9219" max="9219" width="4" style="399" customWidth="1"/>
    <col min="9220" max="9220" width="23.28515625" style="399" customWidth="1"/>
    <col min="9221" max="9221" width="10.28515625" style="399" customWidth="1"/>
    <col min="9222" max="9222" width="7.28515625" style="399" customWidth="1"/>
    <col min="9223" max="9223" width="10.42578125" style="399" customWidth="1"/>
    <col min="9224" max="9224" width="8.28515625" style="399" customWidth="1"/>
    <col min="9225" max="9227" width="8.85546875" style="399" customWidth="1"/>
    <col min="9228" max="9228" width="10.28515625" style="399" customWidth="1"/>
    <col min="9229" max="9229" width="11.7109375" style="399" customWidth="1"/>
    <col min="9230" max="9230" width="10.140625" style="399" customWidth="1"/>
    <col min="9231" max="9231" width="10.28515625" style="399" customWidth="1"/>
    <col min="9232" max="9232" width="11" style="399" customWidth="1"/>
    <col min="9233" max="9233" width="9.85546875" style="399" customWidth="1"/>
    <col min="9234" max="9234" width="21.5703125" style="399" customWidth="1"/>
    <col min="9235" max="9235" width="6.85546875" style="399" customWidth="1"/>
    <col min="9236" max="9236" width="6.7109375" style="399" customWidth="1"/>
    <col min="9237" max="9237" width="19.140625" style="399" customWidth="1"/>
    <col min="9238" max="9238" width="9.140625" style="399" customWidth="1"/>
    <col min="9239" max="9245" width="0" style="399" hidden="1" customWidth="1"/>
    <col min="9246" max="9247" width="9.140625" style="399" customWidth="1"/>
    <col min="9248" max="9472" width="9.140625" style="399"/>
    <col min="9473" max="9473" width="5.5703125" style="399" customWidth="1"/>
    <col min="9474" max="9474" width="5" style="399" customWidth="1"/>
    <col min="9475" max="9475" width="4" style="399" customWidth="1"/>
    <col min="9476" max="9476" width="23.28515625" style="399" customWidth="1"/>
    <col min="9477" max="9477" width="10.28515625" style="399" customWidth="1"/>
    <col min="9478" max="9478" width="7.28515625" style="399" customWidth="1"/>
    <col min="9479" max="9479" width="10.42578125" style="399" customWidth="1"/>
    <col min="9480" max="9480" width="8.28515625" style="399" customWidth="1"/>
    <col min="9481" max="9483" width="8.85546875" style="399" customWidth="1"/>
    <col min="9484" max="9484" width="10.28515625" style="399" customWidth="1"/>
    <col min="9485" max="9485" width="11.7109375" style="399" customWidth="1"/>
    <col min="9486" max="9486" width="10.140625" style="399" customWidth="1"/>
    <col min="9487" max="9487" width="10.28515625" style="399" customWidth="1"/>
    <col min="9488" max="9488" width="11" style="399" customWidth="1"/>
    <col min="9489" max="9489" width="9.85546875" style="399" customWidth="1"/>
    <col min="9490" max="9490" width="21.5703125" style="399" customWidth="1"/>
    <col min="9491" max="9491" width="6.85546875" style="399" customWidth="1"/>
    <col min="9492" max="9492" width="6.7109375" style="399" customWidth="1"/>
    <col min="9493" max="9493" width="19.140625" style="399" customWidth="1"/>
    <col min="9494" max="9494" width="9.140625" style="399" customWidth="1"/>
    <col min="9495" max="9501" width="0" style="399" hidden="1" customWidth="1"/>
    <col min="9502" max="9503" width="9.140625" style="399" customWidth="1"/>
    <col min="9504" max="9728" width="9.140625" style="399"/>
    <col min="9729" max="9729" width="5.5703125" style="399" customWidth="1"/>
    <col min="9730" max="9730" width="5" style="399" customWidth="1"/>
    <col min="9731" max="9731" width="4" style="399" customWidth="1"/>
    <col min="9732" max="9732" width="23.28515625" style="399" customWidth="1"/>
    <col min="9733" max="9733" width="10.28515625" style="399" customWidth="1"/>
    <col min="9734" max="9734" width="7.28515625" style="399" customWidth="1"/>
    <col min="9735" max="9735" width="10.42578125" style="399" customWidth="1"/>
    <col min="9736" max="9736" width="8.28515625" style="399" customWidth="1"/>
    <col min="9737" max="9739" width="8.85546875" style="399" customWidth="1"/>
    <col min="9740" max="9740" width="10.28515625" style="399" customWidth="1"/>
    <col min="9741" max="9741" width="11.7109375" style="399" customWidth="1"/>
    <col min="9742" max="9742" width="10.140625" style="399" customWidth="1"/>
    <col min="9743" max="9743" width="10.28515625" style="399" customWidth="1"/>
    <col min="9744" max="9744" width="11" style="399" customWidth="1"/>
    <col min="9745" max="9745" width="9.85546875" style="399" customWidth="1"/>
    <col min="9746" max="9746" width="21.5703125" style="399" customWidth="1"/>
    <col min="9747" max="9747" width="6.85546875" style="399" customWidth="1"/>
    <col min="9748" max="9748" width="6.7109375" style="399" customWidth="1"/>
    <col min="9749" max="9749" width="19.140625" style="399" customWidth="1"/>
    <col min="9750" max="9750" width="9.140625" style="399" customWidth="1"/>
    <col min="9751" max="9757" width="0" style="399" hidden="1" customWidth="1"/>
    <col min="9758" max="9759" width="9.140625" style="399" customWidth="1"/>
    <col min="9760" max="9984" width="9.140625" style="399"/>
    <col min="9985" max="9985" width="5.5703125" style="399" customWidth="1"/>
    <col min="9986" max="9986" width="5" style="399" customWidth="1"/>
    <col min="9987" max="9987" width="4" style="399" customWidth="1"/>
    <col min="9988" max="9988" width="23.28515625" style="399" customWidth="1"/>
    <col min="9989" max="9989" width="10.28515625" style="399" customWidth="1"/>
    <col min="9990" max="9990" width="7.28515625" style="399" customWidth="1"/>
    <col min="9991" max="9991" width="10.42578125" style="399" customWidth="1"/>
    <col min="9992" max="9992" width="8.28515625" style="399" customWidth="1"/>
    <col min="9993" max="9995" width="8.85546875" style="399" customWidth="1"/>
    <col min="9996" max="9996" width="10.28515625" style="399" customWidth="1"/>
    <col min="9997" max="9997" width="11.7109375" style="399" customWidth="1"/>
    <col min="9998" max="9998" width="10.140625" style="399" customWidth="1"/>
    <col min="9999" max="9999" width="10.28515625" style="399" customWidth="1"/>
    <col min="10000" max="10000" width="11" style="399" customWidth="1"/>
    <col min="10001" max="10001" width="9.85546875" style="399" customWidth="1"/>
    <col min="10002" max="10002" width="21.5703125" style="399" customWidth="1"/>
    <col min="10003" max="10003" width="6.85546875" style="399" customWidth="1"/>
    <col min="10004" max="10004" width="6.7109375" style="399" customWidth="1"/>
    <col min="10005" max="10005" width="19.140625" style="399" customWidth="1"/>
    <col min="10006" max="10006" width="9.140625" style="399" customWidth="1"/>
    <col min="10007" max="10013" width="0" style="399" hidden="1" customWidth="1"/>
    <col min="10014" max="10015" width="9.140625" style="399" customWidth="1"/>
    <col min="10016" max="10240" width="9.140625" style="399"/>
    <col min="10241" max="10241" width="5.5703125" style="399" customWidth="1"/>
    <col min="10242" max="10242" width="5" style="399" customWidth="1"/>
    <col min="10243" max="10243" width="4" style="399" customWidth="1"/>
    <col min="10244" max="10244" width="23.28515625" style="399" customWidth="1"/>
    <col min="10245" max="10245" width="10.28515625" style="399" customWidth="1"/>
    <col min="10246" max="10246" width="7.28515625" style="399" customWidth="1"/>
    <col min="10247" max="10247" width="10.42578125" style="399" customWidth="1"/>
    <col min="10248" max="10248" width="8.28515625" style="399" customWidth="1"/>
    <col min="10249" max="10251" width="8.85546875" style="399" customWidth="1"/>
    <col min="10252" max="10252" width="10.28515625" style="399" customWidth="1"/>
    <col min="10253" max="10253" width="11.7109375" style="399" customWidth="1"/>
    <col min="10254" max="10254" width="10.140625" style="399" customWidth="1"/>
    <col min="10255" max="10255" width="10.28515625" style="399" customWidth="1"/>
    <col min="10256" max="10256" width="11" style="399" customWidth="1"/>
    <col min="10257" max="10257" width="9.85546875" style="399" customWidth="1"/>
    <col min="10258" max="10258" width="21.5703125" style="399" customWidth="1"/>
    <col min="10259" max="10259" width="6.85546875" style="399" customWidth="1"/>
    <col min="10260" max="10260" width="6.7109375" style="399" customWidth="1"/>
    <col min="10261" max="10261" width="19.140625" style="399" customWidth="1"/>
    <col min="10262" max="10262" width="9.140625" style="399" customWidth="1"/>
    <col min="10263" max="10269" width="0" style="399" hidden="1" customWidth="1"/>
    <col min="10270" max="10271" width="9.140625" style="399" customWidth="1"/>
    <col min="10272" max="10496" width="9.140625" style="399"/>
    <col min="10497" max="10497" width="5.5703125" style="399" customWidth="1"/>
    <col min="10498" max="10498" width="5" style="399" customWidth="1"/>
    <col min="10499" max="10499" width="4" style="399" customWidth="1"/>
    <col min="10500" max="10500" width="23.28515625" style="399" customWidth="1"/>
    <col min="10501" max="10501" width="10.28515625" style="399" customWidth="1"/>
    <col min="10502" max="10502" width="7.28515625" style="399" customWidth="1"/>
    <col min="10503" max="10503" width="10.42578125" style="399" customWidth="1"/>
    <col min="10504" max="10504" width="8.28515625" style="399" customWidth="1"/>
    <col min="10505" max="10507" width="8.85546875" style="399" customWidth="1"/>
    <col min="10508" max="10508" width="10.28515625" style="399" customWidth="1"/>
    <col min="10509" max="10509" width="11.7109375" style="399" customWidth="1"/>
    <col min="10510" max="10510" width="10.140625" style="399" customWidth="1"/>
    <col min="10511" max="10511" width="10.28515625" style="399" customWidth="1"/>
    <col min="10512" max="10512" width="11" style="399" customWidth="1"/>
    <col min="10513" max="10513" width="9.85546875" style="399" customWidth="1"/>
    <col min="10514" max="10514" width="21.5703125" style="399" customWidth="1"/>
    <col min="10515" max="10515" width="6.85546875" style="399" customWidth="1"/>
    <col min="10516" max="10516" width="6.7109375" style="399" customWidth="1"/>
    <col min="10517" max="10517" width="19.140625" style="399" customWidth="1"/>
    <col min="10518" max="10518" width="9.140625" style="399" customWidth="1"/>
    <col min="10519" max="10525" width="0" style="399" hidden="1" customWidth="1"/>
    <col min="10526" max="10527" width="9.140625" style="399" customWidth="1"/>
    <col min="10528" max="10752" width="9.140625" style="399"/>
    <col min="10753" max="10753" width="5.5703125" style="399" customWidth="1"/>
    <col min="10754" max="10754" width="5" style="399" customWidth="1"/>
    <col min="10755" max="10755" width="4" style="399" customWidth="1"/>
    <col min="10756" max="10756" width="23.28515625" style="399" customWidth="1"/>
    <col min="10757" max="10757" width="10.28515625" style="399" customWidth="1"/>
    <col min="10758" max="10758" width="7.28515625" style="399" customWidth="1"/>
    <col min="10759" max="10759" width="10.42578125" style="399" customWidth="1"/>
    <col min="10760" max="10760" width="8.28515625" style="399" customWidth="1"/>
    <col min="10761" max="10763" width="8.85546875" style="399" customWidth="1"/>
    <col min="10764" max="10764" width="10.28515625" style="399" customWidth="1"/>
    <col min="10765" max="10765" width="11.7109375" style="399" customWidth="1"/>
    <col min="10766" max="10766" width="10.140625" style="399" customWidth="1"/>
    <col min="10767" max="10767" width="10.28515625" style="399" customWidth="1"/>
    <col min="10768" max="10768" width="11" style="399" customWidth="1"/>
    <col min="10769" max="10769" width="9.85546875" style="399" customWidth="1"/>
    <col min="10770" max="10770" width="21.5703125" style="399" customWidth="1"/>
    <col min="10771" max="10771" width="6.85546875" style="399" customWidth="1"/>
    <col min="10772" max="10772" width="6.7109375" style="399" customWidth="1"/>
    <col min="10773" max="10773" width="19.140625" style="399" customWidth="1"/>
    <col min="10774" max="10774" width="9.140625" style="399" customWidth="1"/>
    <col min="10775" max="10781" width="0" style="399" hidden="1" customWidth="1"/>
    <col min="10782" max="10783" width="9.140625" style="399" customWidth="1"/>
    <col min="10784" max="11008" width="9.140625" style="399"/>
    <col min="11009" max="11009" width="5.5703125" style="399" customWidth="1"/>
    <col min="11010" max="11010" width="5" style="399" customWidth="1"/>
    <col min="11011" max="11011" width="4" style="399" customWidth="1"/>
    <col min="11012" max="11012" width="23.28515625" style="399" customWidth="1"/>
    <col min="11013" max="11013" width="10.28515625" style="399" customWidth="1"/>
    <col min="11014" max="11014" width="7.28515625" style="399" customWidth="1"/>
    <col min="11015" max="11015" width="10.42578125" style="399" customWidth="1"/>
    <col min="11016" max="11016" width="8.28515625" style="399" customWidth="1"/>
    <col min="11017" max="11019" width="8.85546875" style="399" customWidth="1"/>
    <col min="11020" max="11020" width="10.28515625" style="399" customWidth="1"/>
    <col min="11021" max="11021" width="11.7109375" style="399" customWidth="1"/>
    <col min="11022" max="11022" width="10.140625" style="399" customWidth="1"/>
    <col min="11023" max="11023" width="10.28515625" style="399" customWidth="1"/>
    <col min="11024" max="11024" width="11" style="399" customWidth="1"/>
    <col min="11025" max="11025" width="9.85546875" style="399" customWidth="1"/>
    <col min="11026" max="11026" width="21.5703125" style="399" customWidth="1"/>
    <col min="11027" max="11027" width="6.85546875" style="399" customWidth="1"/>
    <col min="11028" max="11028" width="6.7109375" style="399" customWidth="1"/>
    <col min="11029" max="11029" width="19.140625" style="399" customWidth="1"/>
    <col min="11030" max="11030" width="9.140625" style="399" customWidth="1"/>
    <col min="11031" max="11037" width="0" style="399" hidden="1" customWidth="1"/>
    <col min="11038" max="11039" width="9.140625" style="399" customWidth="1"/>
    <col min="11040" max="11264" width="9.140625" style="399"/>
    <col min="11265" max="11265" width="5.5703125" style="399" customWidth="1"/>
    <col min="11266" max="11266" width="5" style="399" customWidth="1"/>
    <col min="11267" max="11267" width="4" style="399" customWidth="1"/>
    <col min="11268" max="11268" width="23.28515625" style="399" customWidth="1"/>
    <col min="11269" max="11269" width="10.28515625" style="399" customWidth="1"/>
    <col min="11270" max="11270" width="7.28515625" style="399" customWidth="1"/>
    <col min="11271" max="11271" width="10.42578125" style="399" customWidth="1"/>
    <col min="11272" max="11272" width="8.28515625" style="399" customWidth="1"/>
    <col min="11273" max="11275" width="8.85546875" style="399" customWidth="1"/>
    <col min="11276" max="11276" width="10.28515625" style="399" customWidth="1"/>
    <col min="11277" max="11277" width="11.7109375" style="399" customWidth="1"/>
    <col min="11278" max="11278" width="10.140625" style="399" customWidth="1"/>
    <col min="11279" max="11279" width="10.28515625" style="399" customWidth="1"/>
    <col min="11280" max="11280" width="11" style="399" customWidth="1"/>
    <col min="11281" max="11281" width="9.85546875" style="399" customWidth="1"/>
    <col min="11282" max="11282" width="21.5703125" style="399" customWidth="1"/>
    <col min="11283" max="11283" width="6.85546875" style="399" customWidth="1"/>
    <col min="11284" max="11284" width="6.7109375" style="399" customWidth="1"/>
    <col min="11285" max="11285" width="19.140625" style="399" customWidth="1"/>
    <col min="11286" max="11286" width="9.140625" style="399" customWidth="1"/>
    <col min="11287" max="11293" width="0" style="399" hidden="1" customWidth="1"/>
    <col min="11294" max="11295" width="9.140625" style="399" customWidth="1"/>
    <col min="11296" max="11520" width="9.140625" style="399"/>
    <col min="11521" max="11521" width="5.5703125" style="399" customWidth="1"/>
    <col min="11522" max="11522" width="5" style="399" customWidth="1"/>
    <col min="11523" max="11523" width="4" style="399" customWidth="1"/>
    <col min="11524" max="11524" width="23.28515625" style="399" customWidth="1"/>
    <col min="11525" max="11525" width="10.28515625" style="399" customWidth="1"/>
    <col min="11526" max="11526" width="7.28515625" style="399" customWidth="1"/>
    <col min="11527" max="11527" width="10.42578125" style="399" customWidth="1"/>
    <col min="11528" max="11528" width="8.28515625" style="399" customWidth="1"/>
    <col min="11529" max="11531" width="8.85546875" style="399" customWidth="1"/>
    <col min="11532" max="11532" width="10.28515625" style="399" customWidth="1"/>
    <col min="11533" max="11533" width="11.7109375" style="399" customWidth="1"/>
    <col min="11534" max="11534" width="10.140625" style="399" customWidth="1"/>
    <col min="11535" max="11535" width="10.28515625" style="399" customWidth="1"/>
    <col min="11536" max="11536" width="11" style="399" customWidth="1"/>
    <col min="11537" max="11537" width="9.85546875" style="399" customWidth="1"/>
    <col min="11538" max="11538" width="21.5703125" style="399" customWidth="1"/>
    <col min="11539" max="11539" width="6.85546875" style="399" customWidth="1"/>
    <col min="11540" max="11540" width="6.7109375" style="399" customWidth="1"/>
    <col min="11541" max="11541" width="19.140625" style="399" customWidth="1"/>
    <col min="11542" max="11542" width="9.140625" style="399" customWidth="1"/>
    <col min="11543" max="11549" width="0" style="399" hidden="1" customWidth="1"/>
    <col min="11550" max="11551" width="9.140625" style="399" customWidth="1"/>
    <col min="11552" max="11776" width="9.140625" style="399"/>
    <col min="11777" max="11777" width="5.5703125" style="399" customWidth="1"/>
    <col min="11778" max="11778" width="5" style="399" customWidth="1"/>
    <col min="11779" max="11779" width="4" style="399" customWidth="1"/>
    <col min="11780" max="11780" width="23.28515625" style="399" customWidth="1"/>
    <col min="11781" max="11781" width="10.28515625" style="399" customWidth="1"/>
    <col min="11782" max="11782" width="7.28515625" style="399" customWidth="1"/>
    <col min="11783" max="11783" width="10.42578125" style="399" customWidth="1"/>
    <col min="11784" max="11784" width="8.28515625" style="399" customWidth="1"/>
    <col min="11785" max="11787" width="8.85546875" style="399" customWidth="1"/>
    <col min="11788" max="11788" width="10.28515625" style="399" customWidth="1"/>
    <col min="11789" max="11789" width="11.7109375" style="399" customWidth="1"/>
    <col min="11790" max="11790" width="10.140625" style="399" customWidth="1"/>
    <col min="11791" max="11791" width="10.28515625" style="399" customWidth="1"/>
    <col min="11792" max="11792" width="11" style="399" customWidth="1"/>
    <col min="11793" max="11793" width="9.85546875" style="399" customWidth="1"/>
    <col min="11794" max="11794" width="21.5703125" style="399" customWidth="1"/>
    <col min="11795" max="11795" width="6.85546875" style="399" customWidth="1"/>
    <col min="11796" max="11796" width="6.7109375" style="399" customWidth="1"/>
    <col min="11797" max="11797" width="19.140625" style="399" customWidth="1"/>
    <col min="11798" max="11798" width="9.140625" style="399" customWidth="1"/>
    <col min="11799" max="11805" width="0" style="399" hidden="1" customWidth="1"/>
    <col min="11806" max="11807" width="9.140625" style="399" customWidth="1"/>
    <col min="11808" max="12032" width="9.140625" style="399"/>
    <col min="12033" max="12033" width="5.5703125" style="399" customWidth="1"/>
    <col min="12034" max="12034" width="5" style="399" customWidth="1"/>
    <col min="12035" max="12035" width="4" style="399" customWidth="1"/>
    <col min="12036" max="12036" width="23.28515625" style="399" customWidth="1"/>
    <col min="12037" max="12037" width="10.28515625" style="399" customWidth="1"/>
    <col min="12038" max="12038" width="7.28515625" style="399" customWidth="1"/>
    <col min="12039" max="12039" width="10.42578125" style="399" customWidth="1"/>
    <col min="12040" max="12040" width="8.28515625" style="399" customWidth="1"/>
    <col min="12041" max="12043" width="8.85546875" style="399" customWidth="1"/>
    <col min="12044" max="12044" width="10.28515625" style="399" customWidth="1"/>
    <col min="12045" max="12045" width="11.7109375" style="399" customWidth="1"/>
    <col min="12046" max="12046" width="10.140625" style="399" customWidth="1"/>
    <col min="12047" max="12047" width="10.28515625" style="399" customWidth="1"/>
    <col min="12048" max="12048" width="11" style="399" customWidth="1"/>
    <col min="12049" max="12049" width="9.85546875" style="399" customWidth="1"/>
    <col min="12050" max="12050" width="21.5703125" style="399" customWidth="1"/>
    <col min="12051" max="12051" width="6.85546875" style="399" customWidth="1"/>
    <col min="12052" max="12052" width="6.7109375" style="399" customWidth="1"/>
    <col min="12053" max="12053" width="19.140625" style="399" customWidth="1"/>
    <col min="12054" max="12054" width="9.140625" style="399" customWidth="1"/>
    <col min="12055" max="12061" width="0" style="399" hidden="1" customWidth="1"/>
    <col min="12062" max="12063" width="9.140625" style="399" customWidth="1"/>
    <col min="12064" max="12288" width="9.140625" style="399"/>
    <col min="12289" max="12289" width="5.5703125" style="399" customWidth="1"/>
    <col min="12290" max="12290" width="5" style="399" customWidth="1"/>
    <col min="12291" max="12291" width="4" style="399" customWidth="1"/>
    <col min="12292" max="12292" width="23.28515625" style="399" customWidth="1"/>
    <col min="12293" max="12293" width="10.28515625" style="399" customWidth="1"/>
    <col min="12294" max="12294" width="7.28515625" style="399" customWidth="1"/>
    <col min="12295" max="12295" width="10.42578125" style="399" customWidth="1"/>
    <col min="12296" max="12296" width="8.28515625" style="399" customWidth="1"/>
    <col min="12297" max="12299" width="8.85546875" style="399" customWidth="1"/>
    <col min="12300" max="12300" width="10.28515625" style="399" customWidth="1"/>
    <col min="12301" max="12301" width="11.7109375" style="399" customWidth="1"/>
    <col min="12302" max="12302" width="10.140625" style="399" customWidth="1"/>
    <col min="12303" max="12303" width="10.28515625" style="399" customWidth="1"/>
    <col min="12304" max="12304" width="11" style="399" customWidth="1"/>
    <col min="12305" max="12305" width="9.85546875" style="399" customWidth="1"/>
    <col min="12306" max="12306" width="21.5703125" style="399" customWidth="1"/>
    <col min="12307" max="12307" width="6.85546875" style="399" customWidth="1"/>
    <col min="12308" max="12308" width="6.7109375" style="399" customWidth="1"/>
    <col min="12309" max="12309" width="19.140625" style="399" customWidth="1"/>
    <col min="12310" max="12310" width="9.140625" style="399" customWidth="1"/>
    <col min="12311" max="12317" width="0" style="399" hidden="1" customWidth="1"/>
    <col min="12318" max="12319" width="9.140625" style="399" customWidth="1"/>
    <col min="12320" max="12544" width="9.140625" style="399"/>
    <col min="12545" max="12545" width="5.5703125" style="399" customWidth="1"/>
    <col min="12546" max="12546" width="5" style="399" customWidth="1"/>
    <col min="12547" max="12547" width="4" style="399" customWidth="1"/>
    <col min="12548" max="12548" width="23.28515625" style="399" customWidth="1"/>
    <col min="12549" max="12549" width="10.28515625" style="399" customWidth="1"/>
    <col min="12550" max="12550" width="7.28515625" style="399" customWidth="1"/>
    <col min="12551" max="12551" width="10.42578125" style="399" customWidth="1"/>
    <col min="12552" max="12552" width="8.28515625" style="399" customWidth="1"/>
    <col min="12553" max="12555" width="8.85546875" style="399" customWidth="1"/>
    <col min="12556" max="12556" width="10.28515625" style="399" customWidth="1"/>
    <col min="12557" max="12557" width="11.7109375" style="399" customWidth="1"/>
    <col min="12558" max="12558" width="10.140625" style="399" customWidth="1"/>
    <col min="12559" max="12559" width="10.28515625" style="399" customWidth="1"/>
    <col min="12560" max="12560" width="11" style="399" customWidth="1"/>
    <col min="12561" max="12561" width="9.85546875" style="399" customWidth="1"/>
    <col min="12562" max="12562" width="21.5703125" style="399" customWidth="1"/>
    <col min="12563" max="12563" width="6.85546875" style="399" customWidth="1"/>
    <col min="12564" max="12564" width="6.7109375" style="399" customWidth="1"/>
    <col min="12565" max="12565" width="19.140625" style="399" customWidth="1"/>
    <col min="12566" max="12566" width="9.140625" style="399" customWidth="1"/>
    <col min="12567" max="12573" width="0" style="399" hidden="1" customWidth="1"/>
    <col min="12574" max="12575" width="9.140625" style="399" customWidth="1"/>
    <col min="12576" max="12800" width="9.140625" style="399"/>
    <col min="12801" max="12801" width="5.5703125" style="399" customWidth="1"/>
    <col min="12802" max="12802" width="5" style="399" customWidth="1"/>
    <col min="12803" max="12803" width="4" style="399" customWidth="1"/>
    <col min="12804" max="12804" width="23.28515625" style="399" customWidth="1"/>
    <col min="12805" max="12805" width="10.28515625" style="399" customWidth="1"/>
    <col min="12806" max="12806" width="7.28515625" style="399" customWidth="1"/>
    <col min="12807" max="12807" width="10.42578125" style="399" customWidth="1"/>
    <col min="12808" max="12808" width="8.28515625" style="399" customWidth="1"/>
    <col min="12809" max="12811" width="8.85546875" style="399" customWidth="1"/>
    <col min="12812" max="12812" width="10.28515625" style="399" customWidth="1"/>
    <col min="12813" max="12813" width="11.7109375" style="399" customWidth="1"/>
    <col min="12814" max="12814" width="10.140625" style="399" customWidth="1"/>
    <col min="12815" max="12815" width="10.28515625" style="399" customWidth="1"/>
    <col min="12816" max="12816" width="11" style="399" customWidth="1"/>
    <col min="12817" max="12817" width="9.85546875" style="399" customWidth="1"/>
    <col min="12818" max="12818" width="21.5703125" style="399" customWidth="1"/>
    <col min="12819" max="12819" width="6.85546875" style="399" customWidth="1"/>
    <col min="12820" max="12820" width="6.7109375" style="399" customWidth="1"/>
    <col min="12821" max="12821" width="19.140625" style="399" customWidth="1"/>
    <col min="12822" max="12822" width="9.140625" style="399" customWidth="1"/>
    <col min="12823" max="12829" width="0" style="399" hidden="1" customWidth="1"/>
    <col min="12830" max="12831" width="9.140625" style="399" customWidth="1"/>
    <col min="12832" max="13056" width="9.140625" style="399"/>
    <col min="13057" max="13057" width="5.5703125" style="399" customWidth="1"/>
    <col min="13058" max="13058" width="5" style="399" customWidth="1"/>
    <col min="13059" max="13059" width="4" style="399" customWidth="1"/>
    <col min="13060" max="13060" width="23.28515625" style="399" customWidth="1"/>
    <col min="13061" max="13061" width="10.28515625" style="399" customWidth="1"/>
    <col min="13062" max="13062" width="7.28515625" style="399" customWidth="1"/>
    <col min="13063" max="13063" width="10.42578125" style="399" customWidth="1"/>
    <col min="13064" max="13064" width="8.28515625" style="399" customWidth="1"/>
    <col min="13065" max="13067" width="8.85546875" style="399" customWidth="1"/>
    <col min="13068" max="13068" width="10.28515625" style="399" customWidth="1"/>
    <col min="13069" max="13069" width="11.7109375" style="399" customWidth="1"/>
    <col min="13070" max="13070" width="10.140625" style="399" customWidth="1"/>
    <col min="13071" max="13071" width="10.28515625" style="399" customWidth="1"/>
    <col min="13072" max="13072" width="11" style="399" customWidth="1"/>
    <col min="13073" max="13073" width="9.85546875" style="399" customWidth="1"/>
    <col min="13074" max="13074" width="21.5703125" style="399" customWidth="1"/>
    <col min="13075" max="13075" width="6.85546875" style="399" customWidth="1"/>
    <col min="13076" max="13076" width="6.7109375" style="399" customWidth="1"/>
    <col min="13077" max="13077" width="19.140625" style="399" customWidth="1"/>
    <col min="13078" max="13078" width="9.140625" style="399" customWidth="1"/>
    <col min="13079" max="13085" width="0" style="399" hidden="1" customWidth="1"/>
    <col min="13086" max="13087" width="9.140625" style="399" customWidth="1"/>
    <col min="13088" max="13312" width="9.140625" style="399"/>
    <col min="13313" max="13313" width="5.5703125" style="399" customWidth="1"/>
    <col min="13314" max="13314" width="5" style="399" customWidth="1"/>
    <col min="13315" max="13315" width="4" style="399" customWidth="1"/>
    <col min="13316" max="13316" width="23.28515625" style="399" customWidth="1"/>
    <col min="13317" max="13317" width="10.28515625" style="399" customWidth="1"/>
    <col min="13318" max="13318" width="7.28515625" style="399" customWidth="1"/>
    <col min="13319" max="13319" width="10.42578125" style="399" customWidth="1"/>
    <col min="13320" max="13320" width="8.28515625" style="399" customWidth="1"/>
    <col min="13321" max="13323" width="8.85546875" style="399" customWidth="1"/>
    <col min="13324" max="13324" width="10.28515625" style="399" customWidth="1"/>
    <col min="13325" max="13325" width="11.7109375" style="399" customWidth="1"/>
    <col min="13326" max="13326" width="10.140625" style="399" customWidth="1"/>
    <col min="13327" max="13327" width="10.28515625" style="399" customWidth="1"/>
    <col min="13328" max="13328" width="11" style="399" customWidth="1"/>
    <col min="13329" max="13329" width="9.85546875" style="399" customWidth="1"/>
    <col min="13330" max="13330" width="21.5703125" style="399" customWidth="1"/>
    <col min="13331" max="13331" width="6.85546875" style="399" customWidth="1"/>
    <col min="13332" max="13332" width="6.7109375" style="399" customWidth="1"/>
    <col min="13333" max="13333" width="19.140625" style="399" customWidth="1"/>
    <col min="13334" max="13334" width="9.140625" style="399" customWidth="1"/>
    <col min="13335" max="13341" width="0" style="399" hidden="1" customWidth="1"/>
    <col min="13342" max="13343" width="9.140625" style="399" customWidth="1"/>
    <col min="13344" max="13568" width="9.140625" style="399"/>
    <col min="13569" max="13569" width="5.5703125" style="399" customWidth="1"/>
    <col min="13570" max="13570" width="5" style="399" customWidth="1"/>
    <col min="13571" max="13571" width="4" style="399" customWidth="1"/>
    <col min="13572" max="13572" width="23.28515625" style="399" customWidth="1"/>
    <col min="13573" max="13573" width="10.28515625" style="399" customWidth="1"/>
    <col min="13574" max="13574" width="7.28515625" style="399" customWidth="1"/>
    <col min="13575" max="13575" width="10.42578125" style="399" customWidth="1"/>
    <col min="13576" max="13576" width="8.28515625" style="399" customWidth="1"/>
    <col min="13577" max="13579" width="8.85546875" style="399" customWidth="1"/>
    <col min="13580" max="13580" width="10.28515625" style="399" customWidth="1"/>
    <col min="13581" max="13581" width="11.7109375" style="399" customWidth="1"/>
    <col min="13582" max="13582" width="10.140625" style="399" customWidth="1"/>
    <col min="13583" max="13583" width="10.28515625" style="399" customWidth="1"/>
    <col min="13584" max="13584" width="11" style="399" customWidth="1"/>
    <col min="13585" max="13585" width="9.85546875" style="399" customWidth="1"/>
    <col min="13586" max="13586" width="21.5703125" style="399" customWidth="1"/>
    <col min="13587" max="13587" width="6.85546875" style="399" customWidth="1"/>
    <col min="13588" max="13588" width="6.7109375" style="399" customWidth="1"/>
    <col min="13589" max="13589" width="19.140625" style="399" customWidth="1"/>
    <col min="13590" max="13590" width="9.140625" style="399" customWidth="1"/>
    <col min="13591" max="13597" width="0" style="399" hidden="1" customWidth="1"/>
    <col min="13598" max="13599" width="9.140625" style="399" customWidth="1"/>
    <col min="13600" max="13824" width="9.140625" style="399"/>
    <col min="13825" max="13825" width="5.5703125" style="399" customWidth="1"/>
    <col min="13826" max="13826" width="5" style="399" customWidth="1"/>
    <col min="13827" max="13827" width="4" style="399" customWidth="1"/>
    <col min="13828" max="13828" width="23.28515625" style="399" customWidth="1"/>
    <col min="13829" max="13829" width="10.28515625" style="399" customWidth="1"/>
    <col min="13830" max="13830" width="7.28515625" style="399" customWidth="1"/>
    <col min="13831" max="13831" width="10.42578125" style="399" customWidth="1"/>
    <col min="13832" max="13832" width="8.28515625" style="399" customWidth="1"/>
    <col min="13833" max="13835" width="8.85546875" style="399" customWidth="1"/>
    <col min="13836" max="13836" width="10.28515625" style="399" customWidth="1"/>
    <col min="13837" max="13837" width="11.7109375" style="399" customWidth="1"/>
    <col min="13838" max="13838" width="10.140625" style="399" customWidth="1"/>
    <col min="13839" max="13839" width="10.28515625" style="399" customWidth="1"/>
    <col min="13840" max="13840" width="11" style="399" customWidth="1"/>
    <col min="13841" max="13841" width="9.85546875" style="399" customWidth="1"/>
    <col min="13842" max="13842" width="21.5703125" style="399" customWidth="1"/>
    <col min="13843" max="13843" width="6.85546875" style="399" customWidth="1"/>
    <col min="13844" max="13844" width="6.7109375" style="399" customWidth="1"/>
    <col min="13845" max="13845" width="19.140625" style="399" customWidth="1"/>
    <col min="13846" max="13846" width="9.140625" style="399" customWidth="1"/>
    <col min="13847" max="13853" width="0" style="399" hidden="1" customWidth="1"/>
    <col min="13854" max="13855" width="9.140625" style="399" customWidth="1"/>
    <col min="13856" max="14080" width="9.140625" style="399"/>
    <col min="14081" max="14081" width="5.5703125" style="399" customWidth="1"/>
    <col min="14082" max="14082" width="5" style="399" customWidth="1"/>
    <col min="14083" max="14083" width="4" style="399" customWidth="1"/>
    <col min="14084" max="14084" width="23.28515625" style="399" customWidth="1"/>
    <col min="14085" max="14085" width="10.28515625" style="399" customWidth="1"/>
    <col min="14086" max="14086" width="7.28515625" style="399" customWidth="1"/>
    <col min="14087" max="14087" width="10.42578125" style="399" customWidth="1"/>
    <col min="14088" max="14088" width="8.28515625" style="399" customWidth="1"/>
    <col min="14089" max="14091" width="8.85546875" style="399" customWidth="1"/>
    <col min="14092" max="14092" width="10.28515625" style="399" customWidth="1"/>
    <col min="14093" max="14093" width="11.7109375" style="399" customWidth="1"/>
    <col min="14094" max="14094" width="10.140625" style="399" customWidth="1"/>
    <col min="14095" max="14095" width="10.28515625" style="399" customWidth="1"/>
    <col min="14096" max="14096" width="11" style="399" customWidth="1"/>
    <col min="14097" max="14097" width="9.85546875" style="399" customWidth="1"/>
    <col min="14098" max="14098" width="21.5703125" style="399" customWidth="1"/>
    <col min="14099" max="14099" width="6.85546875" style="399" customWidth="1"/>
    <col min="14100" max="14100" width="6.7109375" style="399" customWidth="1"/>
    <col min="14101" max="14101" width="19.140625" style="399" customWidth="1"/>
    <col min="14102" max="14102" width="9.140625" style="399" customWidth="1"/>
    <col min="14103" max="14109" width="0" style="399" hidden="1" customWidth="1"/>
    <col min="14110" max="14111" width="9.140625" style="399" customWidth="1"/>
    <col min="14112" max="14336" width="9.140625" style="399"/>
    <col min="14337" max="14337" width="5.5703125" style="399" customWidth="1"/>
    <col min="14338" max="14338" width="5" style="399" customWidth="1"/>
    <col min="14339" max="14339" width="4" style="399" customWidth="1"/>
    <col min="14340" max="14340" width="23.28515625" style="399" customWidth="1"/>
    <col min="14341" max="14341" width="10.28515625" style="399" customWidth="1"/>
    <col min="14342" max="14342" width="7.28515625" style="399" customWidth="1"/>
    <col min="14343" max="14343" width="10.42578125" style="399" customWidth="1"/>
    <col min="14344" max="14344" width="8.28515625" style="399" customWidth="1"/>
    <col min="14345" max="14347" width="8.85546875" style="399" customWidth="1"/>
    <col min="14348" max="14348" width="10.28515625" style="399" customWidth="1"/>
    <col min="14349" max="14349" width="11.7109375" style="399" customWidth="1"/>
    <col min="14350" max="14350" width="10.140625" style="399" customWidth="1"/>
    <col min="14351" max="14351" width="10.28515625" style="399" customWidth="1"/>
    <col min="14352" max="14352" width="11" style="399" customWidth="1"/>
    <col min="14353" max="14353" width="9.85546875" style="399" customWidth="1"/>
    <col min="14354" max="14354" width="21.5703125" style="399" customWidth="1"/>
    <col min="14355" max="14355" width="6.85546875" style="399" customWidth="1"/>
    <col min="14356" max="14356" width="6.7109375" style="399" customWidth="1"/>
    <col min="14357" max="14357" width="19.140625" style="399" customWidth="1"/>
    <col min="14358" max="14358" width="9.140625" style="399" customWidth="1"/>
    <col min="14359" max="14365" width="0" style="399" hidden="1" customWidth="1"/>
    <col min="14366" max="14367" width="9.140625" style="399" customWidth="1"/>
    <col min="14368" max="14592" width="9.140625" style="399"/>
    <col min="14593" max="14593" width="5.5703125" style="399" customWidth="1"/>
    <col min="14594" max="14594" width="5" style="399" customWidth="1"/>
    <col min="14595" max="14595" width="4" style="399" customWidth="1"/>
    <col min="14596" max="14596" width="23.28515625" style="399" customWidth="1"/>
    <col min="14597" max="14597" width="10.28515625" style="399" customWidth="1"/>
    <col min="14598" max="14598" width="7.28515625" style="399" customWidth="1"/>
    <col min="14599" max="14599" width="10.42578125" style="399" customWidth="1"/>
    <col min="14600" max="14600" width="8.28515625" style="399" customWidth="1"/>
    <col min="14601" max="14603" width="8.85546875" style="399" customWidth="1"/>
    <col min="14604" max="14604" width="10.28515625" style="399" customWidth="1"/>
    <col min="14605" max="14605" width="11.7109375" style="399" customWidth="1"/>
    <col min="14606" max="14606" width="10.140625" style="399" customWidth="1"/>
    <col min="14607" max="14607" width="10.28515625" style="399" customWidth="1"/>
    <col min="14608" max="14608" width="11" style="399" customWidth="1"/>
    <col min="14609" max="14609" width="9.85546875" style="399" customWidth="1"/>
    <col min="14610" max="14610" width="21.5703125" style="399" customWidth="1"/>
    <col min="14611" max="14611" width="6.85546875" style="399" customWidth="1"/>
    <col min="14612" max="14612" width="6.7109375" style="399" customWidth="1"/>
    <col min="14613" max="14613" width="19.140625" style="399" customWidth="1"/>
    <col min="14614" max="14614" width="9.140625" style="399" customWidth="1"/>
    <col min="14615" max="14621" width="0" style="399" hidden="1" customWidth="1"/>
    <col min="14622" max="14623" width="9.140625" style="399" customWidth="1"/>
    <col min="14624" max="14848" width="9.140625" style="399"/>
    <col min="14849" max="14849" width="5.5703125" style="399" customWidth="1"/>
    <col min="14850" max="14850" width="5" style="399" customWidth="1"/>
    <col min="14851" max="14851" width="4" style="399" customWidth="1"/>
    <col min="14852" max="14852" width="23.28515625" style="399" customWidth="1"/>
    <col min="14853" max="14853" width="10.28515625" style="399" customWidth="1"/>
    <col min="14854" max="14854" width="7.28515625" style="399" customWidth="1"/>
    <col min="14855" max="14855" width="10.42578125" style="399" customWidth="1"/>
    <col min="14856" max="14856" width="8.28515625" style="399" customWidth="1"/>
    <col min="14857" max="14859" width="8.85546875" style="399" customWidth="1"/>
    <col min="14860" max="14860" width="10.28515625" style="399" customWidth="1"/>
    <col min="14861" max="14861" width="11.7109375" style="399" customWidth="1"/>
    <col min="14862" max="14862" width="10.140625" style="399" customWidth="1"/>
    <col min="14863" max="14863" width="10.28515625" style="399" customWidth="1"/>
    <col min="14864" max="14864" width="11" style="399" customWidth="1"/>
    <col min="14865" max="14865" width="9.85546875" style="399" customWidth="1"/>
    <col min="14866" max="14866" width="21.5703125" style="399" customWidth="1"/>
    <col min="14867" max="14867" width="6.85546875" style="399" customWidth="1"/>
    <col min="14868" max="14868" width="6.7109375" style="399" customWidth="1"/>
    <col min="14869" max="14869" width="19.140625" style="399" customWidth="1"/>
    <col min="14870" max="14870" width="9.140625" style="399" customWidth="1"/>
    <col min="14871" max="14877" width="0" style="399" hidden="1" customWidth="1"/>
    <col min="14878" max="14879" width="9.140625" style="399" customWidth="1"/>
    <col min="14880" max="15104" width="9.140625" style="399"/>
    <col min="15105" max="15105" width="5.5703125" style="399" customWidth="1"/>
    <col min="15106" max="15106" width="5" style="399" customWidth="1"/>
    <col min="15107" max="15107" width="4" style="399" customWidth="1"/>
    <col min="15108" max="15108" width="23.28515625" style="399" customWidth="1"/>
    <col min="15109" max="15109" width="10.28515625" style="399" customWidth="1"/>
    <col min="15110" max="15110" width="7.28515625" style="399" customWidth="1"/>
    <col min="15111" max="15111" width="10.42578125" style="399" customWidth="1"/>
    <col min="15112" max="15112" width="8.28515625" style="399" customWidth="1"/>
    <col min="15113" max="15115" width="8.85546875" style="399" customWidth="1"/>
    <col min="15116" max="15116" width="10.28515625" style="399" customWidth="1"/>
    <col min="15117" max="15117" width="11.7109375" style="399" customWidth="1"/>
    <col min="15118" max="15118" width="10.140625" style="399" customWidth="1"/>
    <col min="15119" max="15119" width="10.28515625" style="399" customWidth="1"/>
    <col min="15120" max="15120" width="11" style="399" customWidth="1"/>
    <col min="15121" max="15121" width="9.85546875" style="399" customWidth="1"/>
    <col min="15122" max="15122" width="21.5703125" style="399" customWidth="1"/>
    <col min="15123" max="15123" width="6.85546875" style="399" customWidth="1"/>
    <col min="15124" max="15124" width="6.7109375" style="399" customWidth="1"/>
    <col min="15125" max="15125" width="19.140625" style="399" customWidth="1"/>
    <col min="15126" max="15126" width="9.140625" style="399" customWidth="1"/>
    <col min="15127" max="15133" width="0" style="399" hidden="1" customWidth="1"/>
    <col min="15134" max="15135" width="9.140625" style="399" customWidth="1"/>
    <col min="15136" max="15360" width="9.140625" style="399"/>
    <col min="15361" max="15361" width="5.5703125" style="399" customWidth="1"/>
    <col min="15362" max="15362" width="5" style="399" customWidth="1"/>
    <col min="15363" max="15363" width="4" style="399" customWidth="1"/>
    <col min="15364" max="15364" width="23.28515625" style="399" customWidth="1"/>
    <col min="15365" max="15365" width="10.28515625" style="399" customWidth="1"/>
    <col min="15366" max="15366" width="7.28515625" style="399" customWidth="1"/>
    <col min="15367" max="15367" width="10.42578125" style="399" customWidth="1"/>
    <col min="15368" max="15368" width="8.28515625" style="399" customWidth="1"/>
    <col min="15369" max="15371" width="8.85546875" style="399" customWidth="1"/>
    <col min="15372" max="15372" width="10.28515625" style="399" customWidth="1"/>
    <col min="15373" max="15373" width="11.7109375" style="399" customWidth="1"/>
    <col min="15374" max="15374" width="10.140625" style="399" customWidth="1"/>
    <col min="15375" max="15375" width="10.28515625" style="399" customWidth="1"/>
    <col min="15376" max="15376" width="11" style="399" customWidth="1"/>
    <col min="15377" max="15377" width="9.85546875" style="399" customWidth="1"/>
    <col min="15378" max="15378" width="21.5703125" style="399" customWidth="1"/>
    <col min="15379" max="15379" width="6.85546875" style="399" customWidth="1"/>
    <col min="15380" max="15380" width="6.7109375" style="399" customWidth="1"/>
    <col min="15381" max="15381" width="19.140625" style="399" customWidth="1"/>
    <col min="15382" max="15382" width="9.140625" style="399" customWidth="1"/>
    <col min="15383" max="15389" width="0" style="399" hidden="1" customWidth="1"/>
    <col min="15390" max="15391" width="9.140625" style="399" customWidth="1"/>
    <col min="15392" max="15616" width="9.140625" style="399"/>
    <col min="15617" max="15617" width="5.5703125" style="399" customWidth="1"/>
    <col min="15618" max="15618" width="5" style="399" customWidth="1"/>
    <col min="15619" max="15619" width="4" style="399" customWidth="1"/>
    <col min="15620" max="15620" width="23.28515625" style="399" customWidth="1"/>
    <col min="15621" max="15621" width="10.28515625" style="399" customWidth="1"/>
    <col min="15622" max="15622" width="7.28515625" style="399" customWidth="1"/>
    <col min="15623" max="15623" width="10.42578125" style="399" customWidth="1"/>
    <col min="15624" max="15624" width="8.28515625" style="399" customWidth="1"/>
    <col min="15625" max="15627" width="8.85546875" style="399" customWidth="1"/>
    <col min="15628" max="15628" width="10.28515625" style="399" customWidth="1"/>
    <col min="15629" max="15629" width="11.7109375" style="399" customWidth="1"/>
    <col min="15630" max="15630" width="10.140625" style="399" customWidth="1"/>
    <col min="15631" max="15631" width="10.28515625" style="399" customWidth="1"/>
    <col min="15632" max="15632" width="11" style="399" customWidth="1"/>
    <col min="15633" max="15633" width="9.85546875" style="399" customWidth="1"/>
    <col min="15634" max="15634" width="21.5703125" style="399" customWidth="1"/>
    <col min="15635" max="15635" width="6.85546875" style="399" customWidth="1"/>
    <col min="15636" max="15636" width="6.7109375" style="399" customWidth="1"/>
    <col min="15637" max="15637" width="19.140625" style="399" customWidth="1"/>
    <col min="15638" max="15638" width="9.140625" style="399" customWidth="1"/>
    <col min="15639" max="15645" width="0" style="399" hidden="1" customWidth="1"/>
    <col min="15646" max="15647" width="9.140625" style="399" customWidth="1"/>
    <col min="15648" max="15872" width="9.140625" style="399"/>
    <col min="15873" max="15873" width="5.5703125" style="399" customWidth="1"/>
    <col min="15874" max="15874" width="5" style="399" customWidth="1"/>
    <col min="15875" max="15875" width="4" style="399" customWidth="1"/>
    <col min="15876" max="15876" width="23.28515625" style="399" customWidth="1"/>
    <col min="15877" max="15877" width="10.28515625" style="399" customWidth="1"/>
    <col min="15878" max="15878" width="7.28515625" style="399" customWidth="1"/>
    <col min="15879" max="15879" width="10.42578125" style="399" customWidth="1"/>
    <col min="15880" max="15880" width="8.28515625" style="399" customWidth="1"/>
    <col min="15881" max="15883" width="8.85546875" style="399" customWidth="1"/>
    <col min="15884" max="15884" width="10.28515625" style="399" customWidth="1"/>
    <col min="15885" max="15885" width="11.7109375" style="399" customWidth="1"/>
    <col min="15886" max="15886" width="10.140625" style="399" customWidth="1"/>
    <col min="15887" max="15887" width="10.28515625" style="399" customWidth="1"/>
    <col min="15888" max="15888" width="11" style="399" customWidth="1"/>
    <col min="15889" max="15889" width="9.85546875" style="399" customWidth="1"/>
    <col min="15890" max="15890" width="21.5703125" style="399" customWidth="1"/>
    <col min="15891" max="15891" width="6.85546875" style="399" customWidth="1"/>
    <col min="15892" max="15892" width="6.7109375" style="399" customWidth="1"/>
    <col min="15893" max="15893" width="19.140625" style="399" customWidth="1"/>
    <col min="15894" max="15894" width="9.140625" style="399" customWidth="1"/>
    <col min="15895" max="15901" width="0" style="399" hidden="1" customWidth="1"/>
    <col min="15902" max="15903" width="9.140625" style="399" customWidth="1"/>
    <col min="15904" max="16128" width="9.140625" style="399"/>
    <col min="16129" max="16129" width="5.5703125" style="399" customWidth="1"/>
    <col min="16130" max="16130" width="5" style="399" customWidth="1"/>
    <col min="16131" max="16131" width="4" style="399" customWidth="1"/>
    <col min="16132" max="16132" width="23.28515625" style="399" customWidth="1"/>
    <col min="16133" max="16133" width="10.28515625" style="399" customWidth="1"/>
    <col min="16134" max="16134" width="7.28515625" style="399" customWidth="1"/>
    <col min="16135" max="16135" width="10.42578125" style="399" customWidth="1"/>
    <col min="16136" max="16136" width="8.28515625" style="399" customWidth="1"/>
    <col min="16137" max="16139" width="8.85546875" style="399" customWidth="1"/>
    <col min="16140" max="16140" width="10.28515625" style="399" customWidth="1"/>
    <col min="16141" max="16141" width="11.7109375" style="399" customWidth="1"/>
    <col min="16142" max="16142" width="10.140625" style="399" customWidth="1"/>
    <col min="16143" max="16143" width="10.28515625" style="399" customWidth="1"/>
    <col min="16144" max="16144" width="11" style="399" customWidth="1"/>
    <col min="16145" max="16145" width="9.85546875" style="399" customWidth="1"/>
    <col min="16146" max="16146" width="21.5703125" style="399" customWidth="1"/>
    <col min="16147" max="16147" width="6.85546875" style="399" customWidth="1"/>
    <col min="16148" max="16148" width="6.7109375" style="399" customWidth="1"/>
    <col min="16149" max="16149" width="19.140625" style="399" customWidth="1"/>
    <col min="16150" max="16150" width="9.140625" style="399" customWidth="1"/>
    <col min="16151" max="16157" width="0" style="399" hidden="1" customWidth="1"/>
    <col min="16158" max="16159" width="9.140625" style="399" customWidth="1"/>
    <col min="16160" max="16384" width="9.140625" style="399"/>
  </cols>
  <sheetData>
    <row r="1" spans="1:29" ht="40.5" customHeight="1" x14ac:dyDescent="0.2">
      <c r="R1" s="1254"/>
      <c r="S1" s="1254"/>
      <c r="T1" s="1254"/>
      <c r="U1" s="1254"/>
    </row>
    <row r="2" spans="1:29" ht="15.75" customHeight="1" x14ac:dyDescent="0.2">
      <c r="A2" s="1578"/>
      <c r="B2" s="1578"/>
      <c r="C2" s="1578"/>
      <c r="D2" s="1578"/>
      <c r="E2" s="1578"/>
      <c r="F2" s="1578"/>
      <c r="G2" s="1578"/>
      <c r="H2" s="1578"/>
      <c r="I2" s="1578"/>
      <c r="J2" s="1578"/>
      <c r="K2" s="1578"/>
      <c r="L2" s="1578"/>
      <c r="M2" s="1578"/>
      <c r="N2" s="1578"/>
      <c r="O2" s="1578"/>
      <c r="P2" s="1578"/>
      <c r="Q2" s="1578"/>
      <c r="R2" s="1578"/>
      <c r="S2" s="1578"/>
      <c r="T2" s="1578"/>
      <c r="U2" s="1578"/>
    </row>
    <row r="3" spans="1:29" s="742" customFormat="1" ht="12" customHeight="1" x14ac:dyDescent="0.2">
      <c r="A3" s="1259"/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259"/>
      <c r="R3" s="1259"/>
      <c r="S3" s="1259"/>
      <c r="T3" s="1259"/>
      <c r="U3" s="1259"/>
    </row>
    <row r="4" spans="1:29" s="742" customFormat="1" ht="15.75" customHeight="1" x14ac:dyDescent="0.2">
      <c r="A4" s="1579"/>
      <c r="B4" s="1580"/>
      <c r="C4" s="1580"/>
      <c r="D4" s="1580"/>
      <c r="E4" s="1580"/>
      <c r="F4" s="1580"/>
      <c r="G4" s="1580"/>
      <c r="H4" s="1580"/>
      <c r="I4" s="1580"/>
      <c r="J4" s="1580"/>
      <c r="K4" s="1580"/>
      <c r="L4" s="1580"/>
      <c r="M4" s="1580"/>
      <c r="N4" s="1580"/>
      <c r="O4" s="1580"/>
      <c r="P4" s="1580"/>
      <c r="Q4" s="1580"/>
      <c r="R4" s="1580"/>
      <c r="S4" s="1580"/>
      <c r="T4" s="1580"/>
      <c r="U4" s="1580"/>
    </row>
    <row r="5" spans="1:29" s="742" customFormat="1" ht="12.75" customHeight="1" x14ac:dyDescent="0.2">
      <c r="A5" s="1581" t="s">
        <v>517</v>
      </c>
      <c r="B5" s="1581"/>
      <c r="C5" s="1581"/>
      <c r="D5" s="1581"/>
      <c r="E5" s="1581"/>
      <c r="F5" s="1581"/>
      <c r="G5" s="1581"/>
      <c r="H5" s="1581"/>
      <c r="I5" s="1581"/>
      <c r="J5" s="1581"/>
      <c r="K5" s="1581"/>
      <c r="L5" s="1581"/>
      <c r="M5" s="1581"/>
      <c r="N5" s="1581"/>
      <c r="O5" s="1581"/>
      <c r="P5" s="1581"/>
      <c r="Q5" s="1581"/>
      <c r="R5" s="1581"/>
      <c r="S5" s="1581"/>
      <c r="T5" s="1581"/>
      <c r="U5" s="1581"/>
    </row>
    <row r="6" spans="1:29" ht="12" x14ac:dyDescent="0.2">
      <c r="A6" s="1582" t="s">
        <v>192</v>
      </c>
      <c r="B6" s="1582"/>
      <c r="C6" s="1582"/>
      <c r="D6" s="1582"/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  <c r="R6" s="1582"/>
      <c r="S6" s="1582"/>
      <c r="T6" s="1582"/>
      <c r="U6" s="1582"/>
    </row>
    <row r="7" spans="1:29" ht="11.25" customHeight="1" thickBot="1" x14ac:dyDescent="0.25">
      <c r="A7" s="1309" t="s">
        <v>144</v>
      </c>
      <c r="B7" s="1309"/>
      <c r="C7" s="1309"/>
      <c r="D7" s="1309"/>
      <c r="E7" s="1309"/>
      <c r="F7" s="1309"/>
      <c r="G7" s="1309"/>
      <c r="H7" s="1309"/>
      <c r="I7" s="1309"/>
      <c r="J7" s="1309"/>
      <c r="K7" s="1309"/>
      <c r="L7" s="1309"/>
      <c r="M7" s="1309"/>
      <c r="N7" s="1309"/>
      <c r="O7" s="1309"/>
      <c r="P7" s="1309"/>
      <c r="Q7" s="1309"/>
      <c r="R7" s="1310"/>
      <c r="S7" s="1310"/>
      <c r="T7" s="1310"/>
      <c r="U7" s="1310"/>
    </row>
    <row r="8" spans="1:29" ht="22.5" customHeight="1" x14ac:dyDescent="0.2">
      <c r="A8" s="1583" t="s">
        <v>0</v>
      </c>
      <c r="B8" s="1586" t="s">
        <v>1</v>
      </c>
      <c r="C8" s="1586" t="s">
        <v>2</v>
      </c>
      <c r="D8" s="1589" t="s">
        <v>3</v>
      </c>
      <c r="E8" s="1592" t="s">
        <v>4</v>
      </c>
      <c r="F8" s="1586" t="s">
        <v>5</v>
      </c>
      <c r="G8" s="1595" t="s">
        <v>6</v>
      </c>
      <c r="H8" s="1282" t="s">
        <v>518</v>
      </c>
      <c r="I8" s="1283"/>
      <c r="J8" s="1283"/>
      <c r="K8" s="1284"/>
      <c r="L8" s="1282" t="s">
        <v>519</v>
      </c>
      <c r="M8" s="1283"/>
      <c r="N8" s="1283"/>
      <c r="O8" s="1284"/>
      <c r="P8" s="1600" t="s">
        <v>173</v>
      </c>
      <c r="Q8" s="1600" t="s">
        <v>371</v>
      </c>
      <c r="R8" s="1282" t="s">
        <v>7</v>
      </c>
      <c r="S8" s="1283"/>
      <c r="T8" s="1283"/>
      <c r="U8" s="1284"/>
    </row>
    <row r="9" spans="1:29" ht="18.75" customHeight="1" x14ac:dyDescent="0.2">
      <c r="A9" s="1584"/>
      <c r="B9" s="1587"/>
      <c r="C9" s="1587"/>
      <c r="D9" s="1590"/>
      <c r="E9" s="1593"/>
      <c r="F9" s="1587"/>
      <c r="G9" s="1596"/>
      <c r="H9" s="1570" t="s">
        <v>8</v>
      </c>
      <c r="I9" s="1572" t="s">
        <v>9</v>
      </c>
      <c r="J9" s="1572"/>
      <c r="K9" s="1573" t="s">
        <v>10</v>
      </c>
      <c r="L9" s="1570" t="s">
        <v>8</v>
      </c>
      <c r="M9" s="1572" t="s">
        <v>9</v>
      </c>
      <c r="N9" s="1572"/>
      <c r="O9" s="1573" t="s">
        <v>10</v>
      </c>
      <c r="P9" s="1601"/>
      <c r="Q9" s="1601"/>
      <c r="R9" s="1575" t="s">
        <v>24</v>
      </c>
      <c r="S9" s="743" t="s">
        <v>520</v>
      </c>
      <c r="T9" s="743" t="s">
        <v>521</v>
      </c>
      <c r="U9" s="1598" t="s">
        <v>196</v>
      </c>
    </row>
    <row r="10" spans="1:29" ht="96" customHeight="1" thickBot="1" x14ac:dyDescent="0.25">
      <c r="A10" s="1585"/>
      <c r="B10" s="1588"/>
      <c r="C10" s="1588"/>
      <c r="D10" s="1591"/>
      <c r="E10" s="1594"/>
      <c r="F10" s="1588"/>
      <c r="G10" s="1597"/>
      <c r="H10" s="1571"/>
      <c r="I10" s="744" t="s">
        <v>8</v>
      </c>
      <c r="J10" s="745" t="s">
        <v>12</v>
      </c>
      <c r="K10" s="1574"/>
      <c r="L10" s="1571"/>
      <c r="M10" s="744" t="s">
        <v>8</v>
      </c>
      <c r="N10" s="745" t="s">
        <v>12</v>
      </c>
      <c r="O10" s="1574"/>
      <c r="P10" s="1602"/>
      <c r="Q10" s="1602"/>
      <c r="R10" s="1576"/>
      <c r="S10" s="746" t="s">
        <v>522</v>
      </c>
      <c r="T10" s="746" t="s">
        <v>523</v>
      </c>
      <c r="U10" s="1599"/>
    </row>
    <row r="11" spans="1:29" ht="15" customHeight="1" thickBot="1" x14ac:dyDescent="0.25">
      <c r="A11" s="1548" t="s">
        <v>215</v>
      </c>
      <c r="B11" s="1549"/>
      <c r="C11" s="1549"/>
      <c r="D11" s="1549"/>
      <c r="E11" s="1549"/>
      <c r="F11" s="1549"/>
      <c r="G11" s="1549"/>
      <c r="H11" s="1549"/>
      <c r="I11" s="1549"/>
      <c r="J11" s="1549"/>
      <c r="K11" s="1549"/>
      <c r="L11" s="1549"/>
      <c r="M11" s="1549"/>
      <c r="N11" s="1549"/>
      <c r="O11" s="1549"/>
      <c r="P11" s="1549"/>
      <c r="Q11" s="1549"/>
      <c r="R11" s="1549"/>
      <c r="S11" s="1549"/>
      <c r="T11" s="1549"/>
      <c r="U11" s="1550"/>
      <c r="V11" s="398"/>
    </row>
    <row r="12" spans="1:29" ht="15" customHeight="1" thickBot="1" x14ac:dyDescent="0.25">
      <c r="A12" s="1551" t="s">
        <v>524</v>
      </c>
      <c r="B12" s="1552"/>
      <c r="C12" s="1552"/>
      <c r="D12" s="1552"/>
      <c r="E12" s="1552"/>
      <c r="F12" s="1552"/>
      <c r="G12" s="1552"/>
      <c r="H12" s="1552"/>
      <c r="I12" s="1552"/>
      <c r="J12" s="1552"/>
      <c r="K12" s="1552"/>
      <c r="L12" s="1552"/>
      <c r="M12" s="1552"/>
      <c r="N12" s="1552"/>
      <c r="O12" s="1552"/>
      <c r="P12" s="1552"/>
      <c r="Q12" s="1552"/>
      <c r="R12" s="1552"/>
      <c r="S12" s="1552"/>
      <c r="T12" s="1552"/>
      <c r="U12" s="1553"/>
      <c r="V12" s="398"/>
    </row>
    <row r="13" spans="1:29" ht="15" customHeight="1" thickBot="1" x14ac:dyDescent="0.25">
      <c r="A13" s="747" t="s">
        <v>17</v>
      </c>
      <c r="B13" s="1554" t="s">
        <v>525</v>
      </c>
      <c r="C13" s="1555"/>
      <c r="D13" s="1555"/>
      <c r="E13" s="1555"/>
      <c r="F13" s="1555"/>
      <c r="G13" s="1555"/>
      <c r="H13" s="1556"/>
      <c r="I13" s="1556"/>
      <c r="J13" s="1556"/>
      <c r="K13" s="1556"/>
      <c r="L13" s="1556"/>
      <c r="M13" s="1556"/>
      <c r="N13" s="1556"/>
      <c r="O13" s="1556"/>
      <c r="P13" s="1556"/>
      <c r="Q13" s="1556"/>
      <c r="R13" s="1556"/>
      <c r="S13" s="1556"/>
      <c r="T13" s="1556"/>
      <c r="U13" s="1557"/>
      <c r="V13" s="398"/>
    </row>
    <row r="14" spans="1:29" ht="15" customHeight="1" thickBot="1" x14ac:dyDescent="0.25">
      <c r="A14" s="748" t="s">
        <v>17</v>
      </c>
      <c r="B14" s="749" t="s">
        <v>17</v>
      </c>
      <c r="C14" s="1558" t="s">
        <v>526</v>
      </c>
      <c r="D14" s="1559"/>
      <c r="E14" s="1559"/>
      <c r="F14" s="1559"/>
      <c r="G14" s="1559"/>
      <c r="H14" s="1559"/>
      <c r="I14" s="1559"/>
      <c r="J14" s="1559"/>
      <c r="K14" s="1559"/>
      <c r="L14" s="1559"/>
      <c r="M14" s="1559"/>
      <c r="N14" s="1559"/>
      <c r="O14" s="1559"/>
      <c r="P14" s="1559"/>
      <c r="Q14" s="1559"/>
      <c r="R14" s="1559"/>
      <c r="S14" s="1559"/>
      <c r="T14" s="1559"/>
      <c r="U14" s="1560"/>
      <c r="V14" s="398"/>
    </row>
    <row r="15" spans="1:29" ht="11.25" customHeight="1" x14ac:dyDescent="0.2">
      <c r="A15" s="1408" t="s">
        <v>17</v>
      </c>
      <c r="B15" s="1411" t="s">
        <v>17</v>
      </c>
      <c r="C15" s="1489" t="s">
        <v>18</v>
      </c>
      <c r="D15" s="1494" t="s">
        <v>527</v>
      </c>
      <c r="E15" s="1519" t="s">
        <v>528</v>
      </c>
      <c r="F15" s="1539" t="s">
        <v>529</v>
      </c>
      <c r="G15" s="991" t="s">
        <v>224</v>
      </c>
      <c r="H15" s="158">
        <v>445</v>
      </c>
      <c r="I15" s="156">
        <v>445</v>
      </c>
      <c r="J15" s="156">
        <v>312.10000000000002</v>
      </c>
      <c r="K15" s="143">
        <v>2</v>
      </c>
      <c r="L15" s="158">
        <v>454.1</v>
      </c>
      <c r="M15" s="156">
        <v>454.1</v>
      </c>
      <c r="N15" s="156">
        <v>320.5</v>
      </c>
      <c r="O15" s="143">
        <v>2</v>
      </c>
      <c r="P15" s="751">
        <v>650.29999999999995</v>
      </c>
      <c r="Q15" s="752">
        <v>710</v>
      </c>
      <c r="R15" s="1527" t="s">
        <v>530</v>
      </c>
      <c r="S15" s="1294">
        <v>62</v>
      </c>
      <c r="T15" s="1168">
        <v>91.4</v>
      </c>
      <c r="U15" s="1366"/>
      <c r="V15" s="753"/>
      <c r="W15" s="754">
        <f t="shared" ref="W15:Z16" si="0">H20+H23</f>
        <v>0</v>
      </c>
      <c r="X15" s="754">
        <f t="shared" si="0"/>
        <v>0</v>
      </c>
      <c r="Y15" s="754">
        <f t="shared" si="0"/>
        <v>0</v>
      </c>
      <c r="Z15" s="754">
        <f t="shared" si="0"/>
        <v>0</v>
      </c>
      <c r="AB15" s="754">
        <f>P20+P23</f>
        <v>0</v>
      </c>
      <c r="AC15" s="754">
        <f>Q20+Q23</f>
        <v>0</v>
      </c>
    </row>
    <row r="16" spans="1:29" ht="11.25" x14ac:dyDescent="0.2">
      <c r="A16" s="1408"/>
      <c r="B16" s="1411"/>
      <c r="C16" s="1489"/>
      <c r="D16" s="1494"/>
      <c r="E16" s="1519"/>
      <c r="F16" s="1539"/>
      <c r="G16" s="991" t="s">
        <v>226</v>
      </c>
      <c r="H16" s="158">
        <v>9.4</v>
      </c>
      <c r="I16" s="156">
        <v>9.4</v>
      </c>
      <c r="J16" s="156">
        <v>0</v>
      </c>
      <c r="K16" s="755">
        <v>0</v>
      </c>
      <c r="L16" s="158">
        <v>9.6</v>
      </c>
      <c r="M16" s="156">
        <v>9.6</v>
      </c>
      <c r="N16" s="156">
        <v>0</v>
      </c>
      <c r="O16" s="755">
        <v>0</v>
      </c>
      <c r="P16" s="751">
        <v>10.7</v>
      </c>
      <c r="Q16" s="752">
        <v>11.5</v>
      </c>
      <c r="R16" s="1527"/>
      <c r="S16" s="1300"/>
      <c r="T16" s="1260"/>
      <c r="U16" s="1367"/>
      <c r="V16" s="398"/>
      <c r="W16" s="754">
        <f t="shared" si="0"/>
        <v>0</v>
      </c>
      <c r="X16" s="754">
        <f t="shared" si="0"/>
        <v>0</v>
      </c>
      <c r="Y16" s="754">
        <f t="shared" si="0"/>
        <v>0</v>
      </c>
      <c r="Z16" s="754">
        <f t="shared" si="0"/>
        <v>0</v>
      </c>
      <c r="AB16" s="754">
        <f>P21+P24</f>
        <v>0</v>
      </c>
      <c r="AC16" s="754">
        <f>Q21+Q24</f>
        <v>0</v>
      </c>
    </row>
    <row r="17" spans="1:29" ht="12" thickBot="1" x14ac:dyDescent="0.25">
      <c r="A17" s="1408"/>
      <c r="B17" s="1411"/>
      <c r="C17" s="1489"/>
      <c r="D17" s="1494"/>
      <c r="E17" s="1519"/>
      <c r="F17" s="1539"/>
      <c r="G17" s="993" t="s">
        <v>73</v>
      </c>
      <c r="H17" s="756">
        <v>0</v>
      </c>
      <c r="I17" s="757">
        <v>0</v>
      </c>
      <c r="J17" s="757">
        <v>0</v>
      </c>
      <c r="K17" s="758">
        <v>0</v>
      </c>
      <c r="L17" s="756">
        <v>17.600000000000001</v>
      </c>
      <c r="M17" s="757">
        <v>17.600000000000001</v>
      </c>
      <c r="N17" s="757">
        <v>13.5</v>
      </c>
      <c r="O17" s="758">
        <v>0</v>
      </c>
      <c r="P17" s="759">
        <v>0</v>
      </c>
      <c r="Q17" s="760">
        <v>0</v>
      </c>
      <c r="R17" s="1527"/>
      <c r="S17" s="1295"/>
      <c r="T17" s="1169"/>
      <c r="U17" s="1367"/>
      <c r="V17" s="398"/>
      <c r="W17" s="754"/>
      <c r="X17" s="754"/>
      <c r="Y17" s="754"/>
      <c r="Z17" s="754"/>
      <c r="AB17" s="754"/>
      <c r="AC17" s="754"/>
    </row>
    <row r="18" spans="1:29" ht="12" thickBot="1" x14ac:dyDescent="0.25">
      <c r="A18" s="1408"/>
      <c r="B18" s="1411"/>
      <c r="C18" s="1489"/>
      <c r="D18" s="1494"/>
      <c r="E18" s="1519"/>
      <c r="F18" s="1539"/>
      <c r="G18" s="994" t="s">
        <v>13</v>
      </c>
      <c r="H18" s="761">
        <f>+H15+H16+H17</f>
        <v>454.4</v>
      </c>
      <c r="I18" s="761">
        <f t="shared" ref="I18:Q18" si="1">+I15+I16+I17</f>
        <v>454.4</v>
      </c>
      <c r="J18" s="761">
        <f t="shared" si="1"/>
        <v>312.10000000000002</v>
      </c>
      <c r="K18" s="762">
        <f t="shared" si="1"/>
        <v>2</v>
      </c>
      <c r="L18" s="761">
        <v>488</v>
      </c>
      <c r="M18" s="761">
        <f t="shared" si="1"/>
        <v>481.30000000000007</v>
      </c>
      <c r="N18" s="761">
        <f t="shared" si="1"/>
        <v>334</v>
      </c>
      <c r="O18" s="761">
        <f t="shared" si="1"/>
        <v>2</v>
      </c>
      <c r="P18" s="761">
        <f t="shared" si="1"/>
        <v>661</v>
      </c>
      <c r="Q18" s="762">
        <f t="shared" si="1"/>
        <v>721.5</v>
      </c>
      <c r="R18" s="1527"/>
      <c r="S18" s="287">
        <v>62</v>
      </c>
      <c r="T18" s="288">
        <v>91.4</v>
      </c>
      <c r="U18" s="1368"/>
      <c r="V18" s="398"/>
    </row>
    <row r="19" spans="1:29" ht="11.25" hidden="1" customHeight="1" outlineLevel="1" x14ac:dyDescent="0.2">
      <c r="A19" s="1408" t="s">
        <v>17</v>
      </c>
      <c r="B19" s="1411" t="s">
        <v>17</v>
      </c>
      <c r="C19" s="1489" t="s">
        <v>277</v>
      </c>
      <c r="D19" s="1494" t="s">
        <v>527</v>
      </c>
      <c r="E19" s="1519" t="s">
        <v>528</v>
      </c>
      <c r="F19" s="1539" t="s">
        <v>498</v>
      </c>
      <c r="G19" s="990" t="s">
        <v>224</v>
      </c>
      <c r="H19" s="764"/>
      <c r="I19" s="765"/>
      <c r="J19" s="765"/>
      <c r="K19" s="766"/>
      <c r="L19" s="764"/>
      <c r="M19" s="765"/>
      <c r="N19" s="765"/>
      <c r="O19" s="766"/>
      <c r="P19" s="767"/>
      <c r="Q19" s="768"/>
      <c r="R19" s="1527" t="s">
        <v>530</v>
      </c>
      <c r="S19" s="1389">
        <v>77.5</v>
      </c>
      <c r="T19" s="1390"/>
      <c r="U19" s="1377"/>
      <c r="V19" s="398"/>
      <c r="W19" s="754"/>
      <c r="X19" s="754"/>
      <c r="Y19" s="754"/>
    </row>
    <row r="20" spans="1:29" ht="11.25" hidden="1" customHeight="1" outlineLevel="1" x14ac:dyDescent="0.2">
      <c r="A20" s="1408"/>
      <c r="B20" s="1411"/>
      <c r="C20" s="1489"/>
      <c r="D20" s="1494"/>
      <c r="E20" s="1519"/>
      <c r="F20" s="1539"/>
      <c r="G20" s="991" t="s">
        <v>226</v>
      </c>
      <c r="H20" s="141"/>
      <c r="I20" s="142"/>
      <c r="J20" s="142"/>
      <c r="K20" s="755"/>
      <c r="L20" s="141"/>
      <c r="M20" s="142"/>
      <c r="N20" s="142"/>
      <c r="O20" s="755"/>
      <c r="P20" s="751"/>
      <c r="Q20" s="752"/>
      <c r="R20" s="1527"/>
      <c r="S20" s="1389"/>
      <c r="T20" s="1390"/>
      <c r="U20" s="1377"/>
      <c r="V20" s="398"/>
    </row>
    <row r="21" spans="1:29" ht="11.25" hidden="1" customHeight="1" outlineLevel="1" x14ac:dyDescent="0.2">
      <c r="A21" s="1408"/>
      <c r="B21" s="1411"/>
      <c r="C21" s="1489"/>
      <c r="D21" s="1494"/>
      <c r="E21" s="1519"/>
      <c r="F21" s="1539"/>
      <c r="G21" s="995" t="s">
        <v>13</v>
      </c>
      <c r="H21" s="28"/>
      <c r="I21" s="26"/>
      <c r="J21" s="26"/>
      <c r="K21" s="31"/>
      <c r="L21" s="28"/>
      <c r="M21" s="26"/>
      <c r="N21" s="26"/>
      <c r="O21" s="31"/>
      <c r="P21" s="32"/>
      <c r="Q21" s="25"/>
      <c r="R21" s="1527"/>
      <c r="S21" s="287">
        <f>SUM(S19)</f>
        <v>77.5</v>
      </c>
      <c r="T21" s="288"/>
      <c r="U21" s="289"/>
      <c r="V21" s="398"/>
    </row>
    <row r="22" spans="1:29" ht="11.25" hidden="1" customHeight="1" outlineLevel="1" x14ac:dyDescent="0.2">
      <c r="A22" s="1408" t="s">
        <v>17</v>
      </c>
      <c r="B22" s="1411" t="s">
        <v>17</v>
      </c>
      <c r="C22" s="1489" t="s">
        <v>282</v>
      </c>
      <c r="D22" s="1494" t="s">
        <v>527</v>
      </c>
      <c r="E22" s="1519" t="s">
        <v>528</v>
      </c>
      <c r="F22" s="1539" t="s">
        <v>499</v>
      </c>
      <c r="G22" s="991" t="s">
        <v>224</v>
      </c>
      <c r="H22" s="141"/>
      <c r="I22" s="142"/>
      <c r="J22" s="142"/>
      <c r="K22" s="143"/>
      <c r="L22" s="141"/>
      <c r="M22" s="142"/>
      <c r="N22" s="142"/>
      <c r="O22" s="143"/>
      <c r="P22" s="751"/>
      <c r="Q22" s="752"/>
      <c r="R22" s="1527" t="s">
        <v>530</v>
      </c>
      <c r="S22" s="1389">
        <v>53</v>
      </c>
      <c r="T22" s="1390"/>
      <c r="U22" s="1377"/>
      <c r="V22" s="398"/>
    </row>
    <row r="23" spans="1:29" ht="11.25" hidden="1" customHeight="1" outlineLevel="1" x14ac:dyDescent="0.2">
      <c r="A23" s="1408"/>
      <c r="B23" s="1411"/>
      <c r="C23" s="1489"/>
      <c r="D23" s="1494"/>
      <c r="E23" s="1519"/>
      <c r="F23" s="1539"/>
      <c r="G23" s="991" t="s">
        <v>226</v>
      </c>
      <c r="H23" s="141"/>
      <c r="I23" s="142"/>
      <c r="J23" s="142"/>
      <c r="K23" s="755"/>
      <c r="L23" s="141"/>
      <c r="M23" s="142"/>
      <c r="N23" s="142"/>
      <c r="O23" s="755"/>
      <c r="P23" s="751"/>
      <c r="Q23" s="752"/>
      <c r="R23" s="1527"/>
      <c r="S23" s="1389"/>
      <c r="T23" s="1390"/>
      <c r="U23" s="1377"/>
      <c r="V23" s="398"/>
    </row>
    <row r="24" spans="1:29" ht="11.25" hidden="1" customHeight="1" outlineLevel="1" x14ac:dyDescent="0.2">
      <c r="A24" s="1408"/>
      <c r="B24" s="1411"/>
      <c r="C24" s="1489"/>
      <c r="D24" s="1494"/>
      <c r="E24" s="1519"/>
      <c r="F24" s="1539"/>
      <c r="G24" s="995" t="s">
        <v>13</v>
      </c>
      <c r="H24" s="28"/>
      <c r="I24" s="26"/>
      <c r="J24" s="26"/>
      <c r="K24" s="31"/>
      <c r="L24" s="28"/>
      <c r="M24" s="26"/>
      <c r="N24" s="26"/>
      <c r="O24" s="31"/>
      <c r="P24" s="32"/>
      <c r="Q24" s="25"/>
      <c r="R24" s="1527"/>
      <c r="S24" s="287">
        <f>SUM(S22)</f>
        <v>53</v>
      </c>
      <c r="T24" s="288"/>
      <c r="U24" s="289"/>
      <c r="V24" s="398"/>
    </row>
    <row r="25" spans="1:29" ht="15" customHeight="1" collapsed="1" x14ac:dyDescent="0.2">
      <c r="A25" s="1409" t="s">
        <v>17</v>
      </c>
      <c r="B25" s="1412" t="s">
        <v>17</v>
      </c>
      <c r="C25" s="1518" t="s">
        <v>19</v>
      </c>
      <c r="D25" s="1491" t="s">
        <v>531</v>
      </c>
      <c r="E25" s="1495" t="s">
        <v>532</v>
      </c>
      <c r="F25" s="1540" t="s">
        <v>497</v>
      </c>
      <c r="G25" s="996" t="s">
        <v>224</v>
      </c>
      <c r="H25" s="141">
        <v>340</v>
      </c>
      <c r="I25" s="142">
        <v>340</v>
      </c>
      <c r="J25" s="142">
        <v>237.6</v>
      </c>
      <c r="K25" s="143">
        <v>0</v>
      </c>
      <c r="L25" s="141">
        <v>367.6</v>
      </c>
      <c r="M25" s="142">
        <v>367.6</v>
      </c>
      <c r="N25" s="142">
        <v>264.60000000000002</v>
      </c>
      <c r="O25" s="143">
        <v>0</v>
      </c>
      <c r="P25" s="157">
        <v>481.6</v>
      </c>
      <c r="Q25" s="158">
        <v>529.70000000000005</v>
      </c>
      <c r="R25" s="1541" t="s">
        <v>533</v>
      </c>
      <c r="S25" s="1426">
        <v>110.3</v>
      </c>
      <c r="T25" s="1429">
        <v>95.6</v>
      </c>
      <c r="U25" s="1567" t="s">
        <v>534</v>
      </c>
      <c r="V25" s="398"/>
    </row>
    <row r="26" spans="1:29" ht="15" customHeight="1" x14ac:dyDescent="0.2">
      <c r="A26" s="1488"/>
      <c r="B26" s="1439"/>
      <c r="C26" s="1563"/>
      <c r="D26" s="1564"/>
      <c r="E26" s="1492"/>
      <c r="F26" s="1565"/>
      <c r="G26" s="996" t="s">
        <v>226</v>
      </c>
      <c r="H26" s="141">
        <v>2.4</v>
      </c>
      <c r="I26" s="142">
        <v>2.4</v>
      </c>
      <c r="J26" s="142">
        <v>0</v>
      </c>
      <c r="K26" s="143">
        <v>0</v>
      </c>
      <c r="L26" s="141">
        <v>3.9</v>
      </c>
      <c r="M26" s="142">
        <v>3.9</v>
      </c>
      <c r="N26" s="142">
        <v>0</v>
      </c>
      <c r="O26" s="143">
        <v>0</v>
      </c>
      <c r="P26" s="157">
        <v>4.4000000000000004</v>
      </c>
      <c r="Q26" s="158">
        <v>5</v>
      </c>
      <c r="R26" s="1541"/>
      <c r="S26" s="1427"/>
      <c r="T26" s="1430"/>
      <c r="U26" s="1568"/>
      <c r="V26" s="398"/>
    </row>
    <row r="27" spans="1:29" ht="15" customHeight="1" thickBot="1" x14ac:dyDescent="0.25">
      <c r="A27" s="1488"/>
      <c r="B27" s="1439"/>
      <c r="C27" s="1563"/>
      <c r="D27" s="1564"/>
      <c r="E27" s="1492"/>
      <c r="F27" s="1565"/>
      <c r="G27" s="997" t="s">
        <v>73</v>
      </c>
      <c r="H27" s="769">
        <v>0</v>
      </c>
      <c r="I27" s="770">
        <v>0</v>
      </c>
      <c r="J27" s="770">
        <v>0</v>
      </c>
      <c r="K27" s="757">
        <v>0</v>
      </c>
      <c r="L27" s="769">
        <v>1.1000000000000001</v>
      </c>
      <c r="M27" s="770">
        <v>1.1000000000000001</v>
      </c>
      <c r="N27" s="770">
        <v>0.8</v>
      </c>
      <c r="O27" s="757">
        <v>0</v>
      </c>
      <c r="P27" s="771">
        <v>0</v>
      </c>
      <c r="Q27" s="756">
        <v>0</v>
      </c>
      <c r="R27" s="1541"/>
      <c r="S27" s="1428"/>
      <c r="T27" s="1431"/>
      <c r="U27" s="1568"/>
      <c r="V27" s="398"/>
    </row>
    <row r="28" spans="1:29" ht="14.25" customHeight="1" thickBot="1" x14ac:dyDescent="0.25">
      <c r="A28" s="1561"/>
      <c r="B28" s="1562"/>
      <c r="C28" s="1512"/>
      <c r="D28" s="1490"/>
      <c r="E28" s="1496"/>
      <c r="F28" s="1566"/>
      <c r="G28" s="994" t="s">
        <v>13</v>
      </c>
      <c r="H28" s="761">
        <f>+H25+H26+H27</f>
        <v>342.4</v>
      </c>
      <c r="I28" s="761">
        <f t="shared" ref="I28:N28" si="2">+I25+I26+I27</f>
        <v>342.4</v>
      </c>
      <c r="J28" s="761">
        <f t="shared" si="2"/>
        <v>237.6</v>
      </c>
      <c r="K28" s="761">
        <f t="shared" si="2"/>
        <v>0</v>
      </c>
      <c r="L28" s="761">
        <f t="shared" si="2"/>
        <v>372.6</v>
      </c>
      <c r="M28" s="761">
        <f t="shared" si="2"/>
        <v>372.6</v>
      </c>
      <c r="N28" s="761">
        <f t="shared" si="2"/>
        <v>265.40000000000003</v>
      </c>
      <c r="O28" s="761">
        <f>+O25+O26+O27</f>
        <v>0</v>
      </c>
      <c r="P28" s="761">
        <f>+P25+P26+P27</f>
        <v>486</v>
      </c>
      <c r="Q28" s="762">
        <f>+Q25+Q26+Q27</f>
        <v>534.70000000000005</v>
      </c>
      <c r="R28" s="1541"/>
      <c r="S28" s="287">
        <v>110.3</v>
      </c>
      <c r="T28" s="288">
        <v>95.6</v>
      </c>
      <c r="U28" s="1569"/>
      <c r="V28" s="398"/>
    </row>
    <row r="29" spans="1:29" ht="11.25" customHeight="1" x14ac:dyDescent="0.2">
      <c r="A29" s="1408" t="s">
        <v>17</v>
      </c>
      <c r="B29" s="1411" t="s">
        <v>17</v>
      </c>
      <c r="C29" s="1489" t="s">
        <v>20</v>
      </c>
      <c r="D29" s="1494" t="s">
        <v>535</v>
      </c>
      <c r="E29" s="1519" t="s">
        <v>528</v>
      </c>
      <c r="F29" s="1539" t="s">
        <v>536</v>
      </c>
      <c r="G29" s="998" t="s">
        <v>224</v>
      </c>
      <c r="H29" s="772">
        <v>31.7</v>
      </c>
      <c r="I29" s="773">
        <v>31.7</v>
      </c>
      <c r="J29" s="773">
        <v>24.2</v>
      </c>
      <c r="K29" s="766">
        <v>0</v>
      </c>
      <c r="L29" s="772">
        <v>34.5</v>
      </c>
      <c r="M29" s="773">
        <v>34.5</v>
      </c>
      <c r="N29" s="773">
        <v>27</v>
      </c>
      <c r="O29" s="766">
        <v>0</v>
      </c>
      <c r="P29" s="774">
        <v>37.200000000000003</v>
      </c>
      <c r="Q29" s="772">
        <v>38.200000000000003</v>
      </c>
      <c r="R29" s="1527" t="s">
        <v>537</v>
      </c>
      <c r="S29" s="1426">
        <v>5.8</v>
      </c>
      <c r="T29" s="1429">
        <v>4.7</v>
      </c>
      <c r="U29" s="1577" t="s">
        <v>538</v>
      </c>
      <c r="V29" s="753"/>
      <c r="W29" s="754">
        <f>H35+H38</f>
        <v>0</v>
      </c>
      <c r="X29" s="754">
        <f>I35+I38</f>
        <v>0</v>
      </c>
      <c r="Y29" s="754">
        <f>J35+J38</f>
        <v>0</v>
      </c>
      <c r="Z29" s="754">
        <f>K35+K38</f>
        <v>0</v>
      </c>
      <c r="AB29" s="754">
        <f>P35+P38</f>
        <v>0</v>
      </c>
      <c r="AC29" s="754">
        <f>Q35+Q38</f>
        <v>0</v>
      </c>
    </row>
    <row r="30" spans="1:29" ht="12.75" customHeight="1" x14ac:dyDescent="0.2">
      <c r="A30" s="1408"/>
      <c r="B30" s="1411"/>
      <c r="C30" s="1489"/>
      <c r="D30" s="1494"/>
      <c r="E30" s="1519"/>
      <c r="F30" s="1539"/>
      <c r="G30" s="999" t="s">
        <v>226</v>
      </c>
      <c r="H30" s="141"/>
      <c r="I30" s="142">
        <v>0</v>
      </c>
      <c r="J30" s="142"/>
      <c r="K30" s="143">
        <v>0</v>
      </c>
      <c r="L30" s="141">
        <v>0.2</v>
      </c>
      <c r="M30" s="142">
        <v>0.2</v>
      </c>
      <c r="N30" s="142">
        <v>0</v>
      </c>
      <c r="O30" s="143">
        <v>0</v>
      </c>
      <c r="P30" s="157">
        <v>0</v>
      </c>
      <c r="Q30" s="158">
        <v>0</v>
      </c>
      <c r="R30" s="1527"/>
      <c r="S30" s="1427"/>
      <c r="T30" s="1430"/>
      <c r="U30" s="1568"/>
      <c r="V30" s="753"/>
    </row>
    <row r="31" spans="1:29" ht="13.5" customHeight="1" thickBot="1" x14ac:dyDescent="0.25">
      <c r="A31" s="1408"/>
      <c r="B31" s="1411"/>
      <c r="C31" s="1489"/>
      <c r="D31" s="1494"/>
      <c r="E31" s="1519"/>
      <c r="F31" s="1539"/>
      <c r="G31" s="992" t="s">
        <v>73</v>
      </c>
      <c r="H31" s="769"/>
      <c r="I31" s="770">
        <v>0</v>
      </c>
      <c r="J31" s="770">
        <v>0</v>
      </c>
      <c r="K31" s="757">
        <v>0</v>
      </c>
      <c r="L31" s="769">
        <v>5.8</v>
      </c>
      <c r="M31" s="770">
        <v>5.8</v>
      </c>
      <c r="N31" s="770">
        <v>4.3</v>
      </c>
      <c r="O31" s="757">
        <v>0</v>
      </c>
      <c r="P31" s="771">
        <v>0</v>
      </c>
      <c r="Q31" s="756">
        <v>0</v>
      </c>
      <c r="R31" s="1527"/>
      <c r="S31" s="1428"/>
      <c r="T31" s="1431"/>
      <c r="U31" s="1568"/>
      <c r="V31" s="753"/>
    </row>
    <row r="32" spans="1:29" ht="13.5" customHeight="1" thickBot="1" x14ac:dyDescent="0.25">
      <c r="A32" s="1408"/>
      <c r="B32" s="1411"/>
      <c r="C32" s="1489"/>
      <c r="D32" s="1494"/>
      <c r="E32" s="1519"/>
      <c r="F32" s="1539"/>
      <c r="G32" s="994" t="s">
        <v>13</v>
      </c>
      <c r="H32" s="761">
        <f>+H29+H30+H31</f>
        <v>31.7</v>
      </c>
      <c r="I32" s="761">
        <f t="shared" ref="I32:N32" si="3">+I29+I30+I31</f>
        <v>31.7</v>
      </c>
      <c r="J32" s="761">
        <f t="shared" si="3"/>
        <v>24.2</v>
      </c>
      <c r="K32" s="761">
        <f t="shared" si="3"/>
        <v>0</v>
      </c>
      <c r="L32" s="761">
        <f t="shared" si="3"/>
        <v>40.5</v>
      </c>
      <c r="M32" s="761">
        <f t="shared" si="3"/>
        <v>40.5</v>
      </c>
      <c r="N32" s="761">
        <f t="shared" si="3"/>
        <v>31.3</v>
      </c>
      <c r="O32" s="761">
        <f>+O29+O30+O31</f>
        <v>0</v>
      </c>
      <c r="P32" s="761">
        <f>+P29+P30+P31</f>
        <v>37.200000000000003</v>
      </c>
      <c r="Q32" s="762">
        <f>+Q29+Q30+Q31</f>
        <v>38.200000000000003</v>
      </c>
      <c r="R32" s="1527"/>
      <c r="S32" s="775">
        <v>5.8</v>
      </c>
      <c r="T32" s="776">
        <v>4.7</v>
      </c>
      <c r="U32" s="1569"/>
      <c r="V32" s="398"/>
    </row>
    <row r="33" spans="1:23" ht="11.25" hidden="1" customHeight="1" outlineLevel="1" x14ac:dyDescent="0.2">
      <c r="A33" s="1408" t="s">
        <v>17</v>
      </c>
      <c r="B33" s="1411" t="s">
        <v>17</v>
      </c>
      <c r="C33" s="1489" t="s">
        <v>539</v>
      </c>
      <c r="D33" s="1494" t="s">
        <v>535</v>
      </c>
      <c r="E33" s="1519" t="s">
        <v>528</v>
      </c>
      <c r="F33" s="1539" t="s">
        <v>299</v>
      </c>
      <c r="G33" s="998" t="s">
        <v>224</v>
      </c>
      <c r="H33" s="764"/>
      <c r="I33" s="765"/>
      <c r="J33" s="765"/>
      <c r="K33" s="766"/>
      <c r="L33" s="764"/>
      <c r="M33" s="765"/>
      <c r="N33" s="765"/>
      <c r="O33" s="766"/>
      <c r="P33" s="774"/>
      <c r="Q33" s="772"/>
      <c r="R33" s="1527" t="s">
        <v>537</v>
      </c>
      <c r="S33" s="1546">
        <v>2.5</v>
      </c>
      <c r="T33" s="1547"/>
      <c r="U33" s="1545"/>
      <c r="V33" s="398"/>
    </row>
    <row r="34" spans="1:23" ht="11.25" hidden="1" customHeight="1" outlineLevel="1" x14ac:dyDescent="0.2">
      <c r="A34" s="1408"/>
      <c r="B34" s="1411"/>
      <c r="C34" s="1489"/>
      <c r="D34" s="1494"/>
      <c r="E34" s="1519"/>
      <c r="F34" s="1539"/>
      <c r="G34" s="999" t="s">
        <v>226</v>
      </c>
      <c r="H34" s="141"/>
      <c r="I34" s="142"/>
      <c r="J34" s="142"/>
      <c r="K34" s="143"/>
      <c r="L34" s="141"/>
      <c r="M34" s="142"/>
      <c r="N34" s="142"/>
      <c r="O34" s="143"/>
      <c r="P34" s="157"/>
      <c r="Q34" s="158"/>
      <c r="R34" s="1527"/>
      <c r="S34" s="1546"/>
      <c r="T34" s="1547"/>
      <c r="U34" s="1545"/>
      <c r="V34" s="398"/>
      <c r="W34" s="754"/>
    </row>
    <row r="35" spans="1:23" ht="11.25" hidden="1" customHeight="1" outlineLevel="1" x14ac:dyDescent="0.2">
      <c r="A35" s="1408"/>
      <c r="B35" s="1411"/>
      <c r="C35" s="1489"/>
      <c r="D35" s="1494"/>
      <c r="E35" s="1519"/>
      <c r="F35" s="1539"/>
      <c r="G35" s="995" t="s">
        <v>13</v>
      </c>
      <c r="H35" s="777"/>
      <c r="I35" s="778"/>
      <c r="J35" s="778"/>
      <c r="K35" s="779"/>
      <c r="L35" s="777"/>
      <c r="M35" s="778"/>
      <c r="N35" s="778"/>
      <c r="O35" s="779"/>
      <c r="P35" s="780"/>
      <c r="Q35" s="190"/>
      <c r="R35" s="1527"/>
      <c r="S35" s="775">
        <f>SUM(S33)</f>
        <v>2.5</v>
      </c>
      <c r="T35" s="776"/>
      <c r="U35" s="781"/>
      <c r="V35" s="398"/>
      <c r="W35" s="754"/>
    </row>
    <row r="36" spans="1:23" ht="11.25" hidden="1" customHeight="1" outlineLevel="1" x14ac:dyDescent="0.2">
      <c r="A36" s="1408" t="s">
        <v>17</v>
      </c>
      <c r="B36" s="1411" t="s">
        <v>17</v>
      </c>
      <c r="C36" s="1489" t="s">
        <v>540</v>
      </c>
      <c r="D36" s="1494" t="s">
        <v>535</v>
      </c>
      <c r="E36" s="1519" t="s">
        <v>528</v>
      </c>
      <c r="F36" s="1539" t="s">
        <v>270</v>
      </c>
      <c r="G36" s="999" t="s">
        <v>224</v>
      </c>
      <c r="H36" s="141"/>
      <c r="I36" s="142"/>
      <c r="J36" s="142"/>
      <c r="K36" s="143"/>
      <c r="L36" s="141"/>
      <c r="M36" s="142"/>
      <c r="N36" s="142"/>
      <c r="O36" s="143"/>
      <c r="P36" s="157"/>
      <c r="Q36" s="158"/>
      <c r="R36" s="1527" t="s">
        <v>537</v>
      </c>
      <c r="S36" s="1546">
        <v>1.6</v>
      </c>
      <c r="T36" s="1547"/>
      <c r="U36" s="1545"/>
      <c r="V36" s="398"/>
    </row>
    <row r="37" spans="1:23" ht="11.25" hidden="1" customHeight="1" outlineLevel="1" x14ac:dyDescent="0.2">
      <c r="A37" s="1408"/>
      <c r="B37" s="1411"/>
      <c r="C37" s="1489"/>
      <c r="D37" s="1494"/>
      <c r="E37" s="1519"/>
      <c r="F37" s="1539"/>
      <c r="G37" s="999" t="s">
        <v>226</v>
      </c>
      <c r="H37" s="141"/>
      <c r="I37" s="142"/>
      <c r="J37" s="142"/>
      <c r="K37" s="143"/>
      <c r="L37" s="141"/>
      <c r="M37" s="142"/>
      <c r="N37" s="142"/>
      <c r="O37" s="143"/>
      <c r="P37" s="157"/>
      <c r="Q37" s="158"/>
      <c r="R37" s="1527"/>
      <c r="S37" s="1546"/>
      <c r="T37" s="1547"/>
      <c r="U37" s="1545"/>
      <c r="V37" s="398"/>
    </row>
    <row r="38" spans="1:23" ht="11.25" hidden="1" customHeight="1" outlineLevel="1" x14ac:dyDescent="0.2">
      <c r="A38" s="1408"/>
      <c r="B38" s="1411"/>
      <c r="C38" s="1489"/>
      <c r="D38" s="1494"/>
      <c r="E38" s="1519"/>
      <c r="F38" s="1539"/>
      <c r="G38" s="995" t="s">
        <v>13</v>
      </c>
      <c r="H38" s="777"/>
      <c r="I38" s="778"/>
      <c r="J38" s="778"/>
      <c r="K38" s="779"/>
      <c r="L38" s="777"/>
      <c r="M38" s="778"/>
      <c r="N38" s="778"/>
      <c r="O38" s="779"/>
      <c r="P38" s="780"/>
      <c r="Q38" s="190"/>
      <c r="R38" s="1527"/>
      <c r="S38" s="775">
        <f>SUM(S36)</f>
        <v>1.6</v>
      </c>
      <c r="T38" s="776"/>
      <c r="U38" s="781"/>
      <c r="V38" s="398"/>
    </row>
    <row r="39" spans="1:23" ht="18" customHeight="1" collapsed="1" thickBot="1" x14ac:dyDescent="0.25">
      <c r="A39" s="1408" t="s">
        <v>17</v>
      </c>
      <c r="B39" s="1411" t="s">
        <v>17</v>
      </c>
      <c r="C39" s="1489" t="s">
        <v>21</v>
      </c>
      <c r="D39" s="1494" t="s">
        <v>541</v>
      </c>
      <c r="E39" s="1519" t="s">
        <v>542</v>
      </c>
      <c r="F39" s="1539" t="s">
        <v>22</v>
      </c>
      <c r="G39" s="1000" t="s">
        <v>224</v>
      </c>
      <c r="H39" s="769"/>
      <c r="I39" s="770"/>
      <c r="J39" s="770">
        <v>0</v>
      </c>
      <c r="K39" s="782">
        <v>0</v>
      </c>
      <c r="L39" s="769">
        <v>2.5</v>
      </c>
      <c r="M39" s="770">
        <v>2.5</v>
      </c>
      <c r="N39" s="770">
        <v>0</v>
      </c>
      <c r="O39" s="782">
        <v>0</v>
      </c>
      <c r="P39" s="759">
        <v>13</v>
      </c>
      <c r="Q39" s="760">
        <v>14</v>
      </c>
      <c r="R39" s="1541" t="s">
        <v>543</v>
      </c>
      <c r="S39" s="783">
        <v>2</v>
      </c>
      <c r="T39" s="784">
        <v>3</v>
      </c>
      <c r="U39" s="1542"/>
      <c r="V39" s="398"/>
    </row>
    <row r="40" spans="1:23" ht="15.75" customHeight="1" thickBot="1" x14ac:dyDescent="0.25">
      <c r="A40" s="1408"/>
      <c r="B40" s="1411"/>
      <c r="C40" s="1489"/>
      <c r="D40" s="1494"/>
      <c r="E40" s="1519"/>
      <c r="F40" s="1539"/>
      <c r="G40" s="994" t="s">
        <v>13</v>
      </c>
      <c r="H40" s="761">
        <f>+H39</f>
        <v>0</v>
      </c>
      <c r="I40" s="761">
        <f t="shared" ref="I40:Q40" si="4">+I39</f>
        <v>0</v>
      </c>
      <c r="J40" s="761">
        <f t="shared" si="4"/>
        <v>0</v>
      </c>
      <c r="K40" s="761">
        <f t="shared" si="4"/>
        <v>0</v>
      </c>
      <c r="L40" s="761">
        <f t="shared" si="4"/>
        <v>2.5</v>
      </c>
      <c r="M40" s="761">
        <f t="shared" si="4"/>
        <v>2.5</v>
      </c>
      <c r="N40" s="761">
        <f t="shared" si="4"/>
        <v>0</v>
      </c>
      <c r="O40" s="761">
        <f t="shared" si="4"/>
        <v>0</v>
      </c>
      <c r="P40" s="761">
        <f t="shared" si="4"/>
        <v>13</v>
      </c>
      <c r="Q40" s="762">
        <f t="shared" si="4"/>
        <v>14</v>
      </c>
      <c r="R40" s="1541"/>
      <c r="S40" s="287">
        <v>2</v>
      </c>
      <c r="T40" s="288">
        <v>3</v>
      </c>
      <c r="U40" s="1538"/>
      <c r="V40" s="785"/>
    </row>
    <row r="41" spans="1:23" ht="26.25" customHeight="1" thickBot="1" x14ac:dyDescent="0.25">
      <c r="A41" s="1408" t="s">
        <v>17</v>
      </c>
      <c r="B41" s="1411" t="s">
        <v>17</v>
      </c>
      <c r="C41" s="1489" t="s">
        <v>22</v>
      </c>
      <c r="D41" s="1494" t="s">
        <v>544</v>
      </c>
      <c r="E41" s="1519" t="s">
        <v>545</v>
      </c>
      <c r="F41" s="1543" t="s">
        <v>22</v>
      </c>
      <c r="G41" s="989" t="s">
        <v>224</v>
      </c>
      <c r="H41" s="786">
        <v>9.6</v>
      </c>
      <c r="I41" s="787">
        <v>9.6</v>
      </c>
      <c r="J41" s="787">
        <v>7.3</v>
      </c>
      <c r="K41" s="788">
        <v>0</v>
      </c>
      <c r="L41" s="786">
        <v>11.4</v>
      </c>
      <c r="M41" s="787">
        <v>11.4</v>
      </c>
      <c r="N41" s="787">
        <v>7.7</v>
      </c>
      <c r="O41" s="788">
        <v>0</v>
      </c>
      <c r="P41" s="789">
        <v>16</v>
      </c>
      <c r="Q41" s="790">
        <v>17</v>
      </c>
      <c r="R41" s="1527" t="s">
        <v>546</v>
      </c>
      <c r="S41" s="783">
        <v>5</v>
      </c>
      <c r="T41" s="784">
        <v>7.2</v>
      </c>
      <c r="U41" s="1542"/>
      <c r="V41" s="785"/>
    </row>
    <row r="42" spans="1:23" ht="20.25" customHeight="1" thickBot="1" x14ac:dyDescent="0.25">
      <c r="A42" s="1409"/>
      <c r="B42" s="1412"/>
      <c r="C42" s="1518"/>
      <c r="D42" s="1491"/>
      <c r="E42" s="1495"/>
      <c r="F42" s="1544"/>
      <c r="G42" s="987" t="s">
        <v>13</v>
      </c>
      <c r="H42" s="761">
        <f t="shared" ref="H42:M42" si="5">+H41</f>
        <v>9.6</v>
      </c>
      <c r="I42" s="761">
        <f t="shared" si="5"/>
        <v>9.6</v>
      </c>
      <c r="J42" s="761">
        <f t="shared" si="5"/>
        <v>7.3</v>
      </c>
      <c r="K42" s="761">
        <f t="shared" si="5"/>
        <v>0</v>
      </c>
      <c r="L42" s="761">
        <f t="shared" si="5"/>
        <v>11.4</v>
      </c>
      <c r="M42" s="761">
        <f t="shared" si="5"/>
        <v>11.4</v>
      </c>
      <c r="N42" s="761">
        <v>8</v>
      </c>
      <c r="O42" s="761">
        <f>+O41</f>
        <v>0</v>
      </c>
      <c r="P42" s="761">
        <f>+P41</f>
        <v>16</v>
      </c>
      <c r="Q42" s="762">
        <f>+Q41</f>
        <v>17</v>
      </c>
      <c r="R42" s="1527"/>
      <c r="S42" s="287">
        <v>5</v>
      </c>
      <c r="T42" s="288">
        <v>7.2</v>
      </c>
      <c r="U42" s="1538"/>
      <c r="V42" s="398"/>
    </row>
    <row r="43" spans="1:23" ht="26.25" customHeight="1" thickBot="1" x14ac:dyDescent="0.25">
      <c r="A43" s="1408" t="s">
        <v>17</v>
      </c>
      <c r="B43" s="1411" t="s">
        <v>17</v>
      </c>
      <c r="C43" s="1489" t="s">
        <v>378</v>
      </c>
      <c r="D43" s="1494" t="s">
        <v>547</v>
      </c>
      <c r="E43" s="1519" t="s">
        <v>548</v>
      </c>
      <c r="F43" s="1539" t="s">
        <v>529</v>
      </c>
      <c r="G43" s="989" t="s">
        <v>224</v>
      </c>
      <c r="H43" s="791"/>
      <c r="I43" s="787"/>
      <c r="J43" s="792">
        <v>0</v>
      </c>
      <c r="K43" s="793">
        <v>0</v>
      </c>
      <c r="L43" s="791">
        <v>29.7</v>
      </c>
      <c r="M43" s="896">
        <v>29.7</v>
      </c>
      <c r="N43" s="792">
        <v>0</v>
      </c>
      <c r="O43" s="793">
        <v>0</v>
      </c>
      <c r="P43" s="789">
        <v>27</v>
      </c>
      <c r="Q43" s="790">
        <v>29</v>
      </c>
      <c r="R43" s="1527" t="s">
        <v>553</v>
      </c>
      <c r="S43" s="783">
        <v>3</v>
      </c>
      <c r="T43" s="784">
        <v>3</v>
      </c>
      <c r="U43" s="1432"/>
      <c r="V43" s="785"/>
    </row>
    <row r="44" spans="1:23" ht="25.5" customHeight="1" thickBot="1" x14ac:dyDescent="0.25">
      <c r="A44" s="1409"/>
      <c r="B44" s="1412"/>
      <c r="C44" s="1518"/>
      <c r="D44" s="1491"/>
      <c r="E44" s="1495"/>
      <c r="F44" s="1540"/>
      <c r="G44" s="987" t="s">
        <v>13</v>
      </c>
      <c r="H44" s="761">
        <v>0</v>
      </c>
      <c r="I44" s="761">
        <f t="shared" ref="I44:Q44" si="6">+I43</f>
        <v>0</v>
      </c>
      <c r="J44" s="761">
        <f t="shared" si="6"/>
        <v>0</v>
      </c>
      <c r="K44" s="761">
        <f t="shared" si="6"/>
        <v>0</v>
      </c>
      <c r="L44" s="761">
        <f t="shared" si="6"/>
        <v>29.7</v>
      </c>
      <c r="M44" s="761">
        <f t="shared" si="6"/>
        <v>29.7</v>
      </c>
      <c r="N44" s="761">
        <f t="shared" si="6"/>
        <v>0</v>
      </c>
      <c r="O44" s="761">
        <f t="shared" si="6"/>
        <v>0</v>
      </c>
      <c r="P44" s="761">
        <f t="shared" si="6"/>
        <v>27</v>
      </c>
      <c r="Q44" s="762">
        <f t="shared" si="6"/>
        <v>29</v>
      </c>
      <c r="R44" s="1499"/>
      <c r="S44" s="794">
        <v>0</v>
      </c>
      <c r="T44" s="795">
        <v>3</v>
      </c>
      <c r="U44" s="1434"/>
      <c r="V44" s="398"/>
    </row>
    <row r="45" spans="1:23" ht="26.25" customHeight="1" thickBot="1" x14ac:dyDescent="0.25">
      <c r="A45" s="1408" t="s">
        <v>17</v>
      </c>
      <c r="B45" s="1411" t="s">
        <v>17</v>
      </c>
      <c r="C45" s="1489" t="s">
        <v>415</v>
      </c>
      <c r="D45" s="1494" t="s">
        <v>549</v>
      </c>
      <c r="E45" s="1519" t="s">
        <v>550</v>
      </c>
      <c r="F45" s="1539" t="s">
        <v>529</v>
      </c>
      <c r="G45" s="989" t="s">
        <v>224</v>
      </c>
      <c r="H45" s="791">
        <v>0</v>
      </c>
      <c r="I45" s="787">
        <v>0</v>
      </c>
      <c r="J45" s="792">
        <v>0</v>
      </c>
      <c r="K45" s="793">
        <v>0</v>
      </c>
      <c r="L45" s="791"/>
      <c r="M45" s="787"/>
      <c r="N45" s="792">
        <v>0</v>
      </c>
      <c r="O45" s="793">
        <v>0</v>
      </c>
      <c r="P45" s="789">
        <v>4</v>
      </c>
      <c r="Q45" s="790">
        <v>6.5</v>
      </c>
      <c r="R45" s="1527" t="s">
        <v>551</v>
      </c>
      <c r="S45" s="783">
        <v>0</v>
      </c>
      <c r="T45" s="784">
        <v>0</v>
      </c>
      <c r="U45" s="1502" t="s">
        <v>552</v>
      </c>
      <c r="V45" s="785"/>
    </row>
    <row r="46" spans="1:23" ht="25.5" customHeight="1" thickBot="1" x14ac:dyDescent="0.25">
      <c r="A46" s="1409"/>
      <c r="B46" s="1412"/>
      <c r="C46" s="1518"/>
      <c r="D46" s="1491"/>
      <c r="E46" s="1495"/>
      <c r="F46" s="1539"/>
      <c r="G46" s="987" t="s">
        <v>13</v>
      </c>
      <c r="H46" s="761">
        <f>+H45</f>
        <v>0</v>
      </c>
      <c r="I46" s="761">
        <f t="shared" ref="I46:Q46" si="7">+I45</f>
        <v>0</v>
      </c>
      <c r="J46" s="761">
        <f t="shared" si="7"/>
        <v>0</v>
      </c>
      <c r="K46" s="761">
        <f t="shared" si="7"/>
        <v>0</v>
      </c>
      <c r="L46" s="761">
        <f t="shared" si="7"/>
        <v>0</v>
      </c>
      <c r="M46" s="761">
        <f t="shared" si="7"/>
        <v>0</v>
      </c>
      <c r="N46" s="761">
        <f t="shared" si="7"/>
        <v>0</v>
      </c>
      <c r="O46" s="761">
        <f t="shared" si="7"/>
        <v>0</v>
      </c>
      <c r="P46" s="761">
        <f t="shared" si="7"/>
        <v>4</v>
      </c>
      <c r="Q46" s="762">
        <f t="shared" si="7"/>
        <v>6.5</v>
      </c>
      <c r="R46" s="1499"/>
      <c r="S46" s="794">
        <v>0</v>
      </c>
      <c r="T46" s="795">
        <v>0</v>
      </c>
      <c r="U46" s="1503"/>
      <c r="V46" s="398"/>
    </row>
    <row r="47" spans="1:23" ht="26.25" hidden="1" customHeight="1" outlineLevel="1" x14ac:dyDescent="0.2">
      <c r="A47" s="1408" t="s">
        <v>17</v>
      </c>
      <c r="B47" s="1411" t="s">
        <v>17</v>
      </c>
      <c r="C47" s="1489" t="s">
        <v>490</v>
      </c>
      <c r="D47" s="1494" t="s">
        <v>547</v>
      </c>
      <c r="E47" s="1519" t="s">
        <v>548</v>
      </c>
      <c r="F47" s="1519" t="s">
        <v>498</v>
      </c>
      <c r="G47" s="763" t="s">
        <v>224</v>
      </c>
      <c r="H47" s="796">
        <v>15000</v>
      </c>
      <c r="I47" s="797">
        <v>15000</v>
      </c>
      <c r="J47" s="797"/>
      <c r="K47" s="798"/>
      <c r="L47" s="796"/>
      <c r="M47" s="731"/>
      <c r="N47" s="797"/>
      <c r="O47" s="798"/>
      <c r="P47" s="799">
        <v>16000</v>
      </c>
      <c r="Q47" s="800">
        <v>17000</v>
      </c>
      <c r="R47" s="1527" t="s">
        <v>553</v>
      </c>
      <c r="S47" s="783">
        <v>2</v>
      </c>
      <c r="T47" s="784">
        <v>2</v>
      </c>
      <c r="U47" s="801">
        <v>2</v>
      </c>
      <c r="V47" s="785"/>
    </row>
    <row r="48" spans="1:23" ht="25.5" hidden="1" customHeight="1" outlineLevel="1" x14ac:dyDescent="0.2">
      <c r="A48" s="1409"/>
      <c r="B48" s="1412"/>
      <c r="C48" s="1518"/>
      <c r="D48" s="1491"/>
      <c r="E48" s="1495"/>
      <c r="F48" s="1495"/>
      <c r="G48" s="802" t="s">
        <v>13</v>
      </c>
      <c r="H48" s="794">
        <f>SUM(H47)</f>
        <v>15000</v>
      </c>
      <c r="I48" s="795">
        <f t="shared" ref="I48:N48" si="8">SUM(I47)</f>
        <v>15000</v>
      </c>
      <c r="J48" s="795">
        <f t="shared" si="8"/>
        <v>0</v>
      </c>
      <c r="K48" s="803">
        <f t="shared" si="8"/>
        <v>0</v>
      </c>
      <c r="L48" s="794">
        <f t="shared" si="8"/>
        <v>0</v>
      </c>
      <c r="M48" s="795">
        <f t="shared" si="8"/>
        <v>0</v>
      </c>
      <c r="N48" s="795">
        <f t="shared" si="8"/>
        <v>0</v>
      </c>
      <c r="O48" s="803"/>
      <c r="P48" s="804">
        <v>16000</v>
      </c>
      <c r="Q48" s="805">
        <v>17000</v>
      </c>
      <c r="R48" s="1499"/>
      <c r="S48" s="794">
        <v>2</v>
      </c>
      <c r="T48" s="795">
        <v>2</v>
      </c>
      <c r="U48" s="803">
        <v>1</v>
      </c>
      <c r="V48" s="398"/>
    </row>
    <row r="49" spans="1:22" ht="26.25" hidden="1" customHeight="1" outlineLevel="1" x14ac:dyDescent="0.2">
      <c r="A49" s="1408" t="s">
        <v>17</v>
      </c>
      <c r="B49" s="1411" t="s">
        <v>17</v>
      </c>
      <c r="C49" s="1489" t="s">
        <v>491</v>
      </c>
      <c r="D49" s="1494" t="s">
        <v>547</v>
      </c>
      <c r="E49" s="1519" t="s">
        <v>548</v>
      </c>
      <c r="F49" s="1519" t="s">
        <v>499</v>
      </c>
      <c r="G49" s="750"/>
      <c r="H49" s="806">
        <v>10000</v>
      </c>
      <c r="I49" s="807">
        <v>10000</v>
      </c>
      <c r="J49" s="807"/>
      <c r="K49" s="808"/>
      <c r="L49" s="806"/>
      <c r="M49" s="784"/>
      <c r="N49" s="807"/>
      <c r="O49" s="808"/>
      <c r="P49" s="809">
        <v>11000</v>
      </c>
      <c r="Q49" s="810">
        <v>12000</v>
      </c>
      <c r="R49" s="1527" t="s">
        <v>553</v>
      </c>
      <c r="S49" s="783">
        <v>0</v>
      </c>
      <c r="T49" s="784">
        <v>0</v>
      </c>
      <c r="U49" s="801">
        <v>1</v>
      </c>
      <c r="V49" s="785"/>
    </row>
    <row r="50" spans="1:22" ht="25.5" hidden="1" customHeight="1" outlineLevel="1" x14ac:dyDescent="0.2">
      <c r="A50" s="1409"/>
      <c r="B50" s="1412"/>
      <c r="C50" s="1518"/>
      <c r="D50" s="1491"/>
      <c r="E50" s="1495"/>
      <c r="F50" s="1495"/>
      <c r="G50" s="802" t="s">
        <v>13</v>
      </c>
      <c r="H50" s="794">
        <f>SUM(H49)</f>
        <v>10000</v>
      </c>
      <c r="I50" s="795">
        <f t="shared" ref="I50:O50" si="9">SUM(I49)</f>
        <v>10000</v>
      </c>
      <c r="J50" s="795">
        <f t="shared" si="9"/>
        <v>0</v>
      </c>
      <c r="K50" s="803">
        <f t="shared" si="9"/>
        <v>0</v>
      </c>
      <c r="L50" s="794">
        <f t="shared" si="9"/>
        <v>0</v>
      </c>
      <c r="M50" s="795">
        <f t="shared" si="9"/>
        <v>0</v>
      </c>
      <c r="N50" s="795">
        <f t="shared" si="9"/>
        <v>0</v>
      </c>
      <c r="O50" s="803">
        <f t="shared" si="9"/>
        <v>0</v>
      </c>
      <c r="P50" s="804">
        <v>11000</v>
      </c>
      <c r="Q50" s="805">
        <v>12000</v>
      </c>
      <c r="R50" s="1499"/>
      <c r="S50" s="794">
        <v>0</v>
      </c>
      <c r="T50" s="795">
        <v>0</v>
      </c>
      <c r="U50" s="803">
        <v>1</v>
      </c>
      <c r="V50" s="398"/>
    </row>
    <row r="51" spans="1:22" ht="15" customHeight="1" collapsed="1" thickBot="1" x14ac:dyDescent="0.25">
      <c r="A51" s="748" t="s">
        <v>17</v>
      </c>
      <c r="B51" s="749" t="s">
        <v>17</v>
      </c>
      <c r="C51" s="1528" t="s">
        <v>14</v>
      </c>
      <c r="D51" s="1529"/>
      <c r="E51" s="1529"/>
      <c r="F51" s="1529"/>
      <c r="G51" s="1525"/>
      <c r="H51" s="620">
        <f>+H46+H44+H42+H40+H32+H28+H18</f>
        <v>838.09999999999991</v>
      </c>
      <c r="I51" s="620">
        <f t="shared" ref="I51:Q51" si="10">+I46+I44+I42+I40+I32+I28+I18</f>
        <v>838.09999999999991</v>
      </c>
      <c r="J51" s="620">
        <f t="shared" si="10"/>
        <v>581.20000000000005</v>
      </c>
      <c r="K51" s="620">
        <f t="shared" si="10"/>
        <v>2</v>
      </c>
      <c r="L51" s="620">
        <f t="shared" si="10"/>
        <v>944.7</v>
      </c>
      <c r="M51" s="620">
        <f t="shared" si="10"/>
        <v>938.00000000000011</v>
      </c>
      <c r="N51" s="620">
        <f t="shared" si="10"/>
        <v>638.70000000000005</v>
      </c>
      <c r="O51" s="620">
        <f t="shared" si="10"/>
        <v>2</v>
      </c>
      <c r="P51" s="620">
        <f t="shared" si="10"/>
        <v>1244.2</v>
      </c>
      <c r="Q51" s="620">
        <f t="shared" si="10"/>
        <v>1360.9</v>
      </c>
      <c r="R51" s="811" t="s">
        <v>23</v>
      </c>
      <c r="S51" s="812" t="s">
        <v>23</v>
      </c>
      <c r="T51" s="813" t="s">
        <v>23</v>
      </c>
      <c r="U51" s="814" t="s">
        <v>23</v>
      </c>
      <c r="V51" s="398"/>
    </row>
    <row r="52" spans="1:22" ht="14.25" customHeight="1" thickBot="1" x14ac:dyDescent="0.25">
      <c r="A52" s="815" t="s">
        <v>17</v>
      </c>
      <c r="B52" s="732" t="s">
        <v>18</v>
      </c>
      <c r="C52" s="1504" t="s">
        <v>554</v>
      </c>
      <c r="D52" s="1505"/>
      <c r="E52" s="1505"/>
      <c r="F52" s="1505"/>
      <c r="G52" s="1505"/>
      <c r="H52" s="1505"/>
      <c r="I52" s="1505"/>
      <c r="J52" s="1505"/>
      <c r="K52" s="1505"/>
      <c r="L52" s="1505"/>
      <c r="M52" s="1505"/>
      <c r="N52" s="1505"/>
      <c r="O52" s="1505"/>
      <c r="P52" s="1505"/>
      <c r="Q52" s="1505"/>
      <c r="R52" s="1505"/>
      <c r="S52" s="1505"/>
      <c r="T52" s="1505"/>
      <c r="U52" s="1530"/>
      <c r="V52" s="398"/>
    </row>
    <row r="53" spans="1:22" ht="18.75" customHeight="1" x14ac:dyDescent="0.2">
      <c r="A53" s="1509" t="s">
        <v>17</v>
      </c>
      <c r="B53" s="1510" t="s">
        <v>18</v>
      </c>
      <c r="C53" s="1512" t="s">
        <v>17</v>
      </c>
      <c r="D53" s="1490" t="s">
        <v>555</v>
      </c>
      <c r="E53" s="1496" t="s">
        <v>556</v>
      </c>
      <c r="F53" s="1531" t="s">
        <v>557</v>
      </c>
      <c r="G53" s="990" t="s">
        <v>224</v>
      </c>
      <c r="H53" s="764">
        <v>331.1</v>
      </c>
      <c r="I53" s="765">
        <v>331.1</v>
      </c>
      <c r="J53" s="765">
        <v>188.7</v>
      </c>
      <c r="K53" s="766">
        <v>15</v>
      </c>
      <c r="L53" s="764">
        <v>361.5</v>
      </c>
      <c r="M53" s="765">
        <v>361.5</v>
      </c>
      <c r="N53" s="765">
        <v>201</v>
      </c>
      <c r="O53" s="766">
        <v>15</v>
      </c>
      <c r="P53" s="774">
        <v>410.1</v>
      </c>
      <c r="Q53" s="774">
        <v>451.1</v>
      </c>
      <c r="R53" s="1534" t="s">
        <v>558</v>
      </c>
      <c r="S53" s="1536">
        <v>400</v>
      </c>
      <c r="T53" s="1537">
        <v>330</v>
      </c>
      <c r="U53" s="1502" t="s">
        <v>559</v>
      </c>
      <c r="V53" s="398"/>
    </row>
    <row r="54" spans="1:22" ht="18.75" customHeight="1" x14ac:dyDescent="0.2">
      <c r="A54" s="1408"/>
      <c r="B54" s="1411"/>
      <c r="C54" s="1489"/>
      <c r="D54" s="1494"/>
      <c r="E54" s="1519"/>
      <c r="F54" s="1532"/>
      <c r="G54" s="991" t="s">
        <v>226</v>
      </c>
      <c r="H54" s="141">
        <v>15.5</v>
      </c>
      <c r="I54" s="142">
        <v>15.5</v>
      </c>
      <c r="J54" s="142">
        <v>0</v>
      </c>
      <c r="K54" s="143">
        <v>0</v>
      </c>
      <c r="L54" s="141">
        <v>14</v>
      </c>
      <c r="M54" s="142">
        <v>14</v>
      </c>
      <c r="N54" s="142">
        <v>0</v>
      </c>
      <c r="O54" s="143">
        <v>0</v>
      </c>
      <c r="P54" s="157">
        <v>17.100000000000001</v>
      </c>
      <c r="Q54" s="157">
        <v>18.8</v>
      </c>
      <c r="R54" s="1522"/>
      <c r="S54" s="1427"/>
      <c r="T54" s="1430"/>
      <c r="U54" s="1503"/>
      <c r="V54" s="398"/>
    </row>
    <row r="55" spans="1:22" ht="18.75" customHeight="1" thickBot="1" x14ac:dyDescent="0.25">
      <c r="A55" s="1409"/>
      <c r="B55" s="1412"/>
      <c r="C55" s="1518"/>
      <c r="D55" s="1491"/>
      <c r="E55" s="1495"/>
      <c r="F55" s="1533"/>
      <c r="G55" s="992" t="s">
        <v>73</v>
      </c>
      <c r="H55" s="769"/>
      <c r="I55" s="770">
        <v>0</v>
      </c>
      <c r="J55" s="770">
        <v>0</v>
      </c>
      <c r="K55" s="757">
        <v>0</v>
      </c>
      <c r="L55" s="769">
        <v>2.4</v>
      </c>
      <c r="M55" s="770">
        <v>2.4</v>
      </c>
      <c r="N55" s="770">
        <v>2.1</v>
      </c>
      <c r="O55" s="757">
        <v>0</v>
      </c>
      <c r="P55" s="771">
        <v>0</v>
      </c>
      <c r="Q55" s="771">
        <v>0</v>
      </c>
      <c r="R55" s="1535"/>
      <c r="S55" s="1428"/>
      <c r="T55" s="1431"/>
      <c r="U55" s="1503"/>
      <c r="V55" s="398"/>
    </row>
    <row r="56" spans="1:22" ht="17.25" customHeight="1" thickBot="1" x14ac:dyDescent="0.25">
      <c r="A56" s="1409"/>
      <c r="B56" s="1412"/>
      <c r="C56" s="1518"/>
      <c r="D56" s="1491"/>
      <c r="E56" s="1495"/>
      <c r="F56" s="1533"/>
      <c r="G56" s="987" t="s">
        <v>13</v>
      </c>
      <c r="H56" s="761">
        <f>+H53+H54+H55</f>
        <v>346.6</v>
      </c>
      <c r="I56" s="761">
        <f t="shared" ref="I56:Q56" si="11">+I53+I54+I55</f>
        <v>346.6</v>
      </c>
      <c r="J56" s="761">
        <f t="shared" si="11"/>
        <v>188.7</v>
      </c>
      <c r="K56" s="761">
        <f t="shared" si="11"/>
        <v>15</v>
      </c>
      <c r="L56" s="761">
        <f t="shared" si="11"/>
        <v>377.9</v>
      </c>
      <c r="M56" s="761">
        <f t="shared" si="11"/>
        <v>377.9</v>
      </c>
      <c r="N56" s="761">
        <f t="shared" si="11"/>
        <v>203.1</v>
      </c>
      <c r="O56" s="761">
        <f t="shared" si="11"/>
        <v>15</v>
      </c>
      <c r="P56" s="761">
        <f t="shared" si="11"/>
        <v>427.20000000000005</v>
      </c>
      <c r="Q56" s="762">
        <f t="shared" si="11"/>
        <v>469.90000000000003</v>
      </c>
      <c r="R56" s="1523"/>
      <c r="S56" s="287">
        <f>SUM(S53)</f>
        <v>400</v>
      </c>
      <c r="T56" s="288">
        <v>330</v>
      </c>
      <c r="U56" s="1538"/>
      <c r="V56" s="398"/>
    </row>
    <row r="57" spans="1:22" ht="18.75" customHeight="1" thickBot="1" x14ac:dyDescent="0.25">
      <c r="A57" s="1408" t="s">
        <v>17</v>
      </c>
      <c r="B57" s="1411" t="s">
        <v>18</v>
      </c>
      <c r="C57" s="1489" t="s">
        <v>18</v>
      </c>
      <c r="D57" s="1494" t="s">
        <v>560</v>
      </c>
      <c r="E57" s="1519" t="s">
        <v>561</v>
      </c>
      <c r="F57" s="1520" t="s">
        <v>557</v>
      </c>
      <c r="G57" s="989" t="s">
        <v>224</v>
      </c>
      <c r="H57" s="786"/>
      <c r="I57" s="787">
        <v>0</v>
      </c>
      <c r="J57" s="787">
        <v>0</v>
      </c>
      <c r="K57" s="788">
        <v>0</v>
      </c>
      <c r="L57" s="786">
        <v>0</v>
      </c>
      <c r="M57" s="787">
        <v>0</v>
      </c>
      <c r="N57" s="787">
        <v>0</v>
      </c>
      <c r="O57" s="788">
        <v>0</v>
      </c>
      <c r="P57" s="816">
        <v>0</v>
      </c>
      <c r="Q57" s="816">
        <v>0</v>
      </c>
      <c r="R57" s="1522" t="s">
        <v>562</v>
      </c>
      <c r="S57" s="729">
        <v>0</v>
      </c>
      <c r="T57" s="731">
        <v>0</v>
      </c>
      <c r="U57" s="1432"/>
      <c r="V57" s="398"/>
    </row>
    <row r="58" spans="1:22" ht="17.25" customHeight="1" thickBot="1" x14ac:dyDescent="0.25">
      <c r="A58" s="1409"/>
      <c r="B58" s="1412"/>
      <c r="C58" s="1518"/>
      <c r="D58" s="1491"/>
      <c r="E58" s="1495"/>
      <c r="F58" s="1521"/>
      <c r="G58" s="987" t="s">
        <v>13</v>
      </c>
      <c r="H58" s="761">
        <f>+H57</f>
        <v>0</v>
      </c>
      <c r="I58" s="761">
        <f t="shared" ref="I58:Q58" si="12">+I57</f>
        <v>0</v>
      </c>
      <c r="J58" s="761">
        <f t="shared" si="12"/>
        <v>0</v>
      </c>
      <c r="K58" s="761">
        <f t="shared" si="12"/>
        <v>0</v>
      </c>
      <c r="L58" s="761">
        <f t="shared" si="12"/>
        <v>0</v>
      </c>
      <c r="M58" s="761">
        <f t="shared" si="12"/>
        <v>0</v>
      </c>
      <c r="N58" s="761">
        <f t="shared" si="12"/>
        <v>0</v>
      </c>
      <c r="O58" s="761">
        <f t="shared" si="12"/>
        <v>0</v>
      </c>
      <c r="P58" s="761">
        <f t="shared" si="12"/>
        <v>0</v>
      </c>
      <c r="Q58" s="762">
        <f t="shared" si="12"/>
        <v>0</v>
      </c>
      <c r="R58" s="1523"/>
      <c r="S58" s="608">
        <v>0</v>
      </c>
      <c r="T58" s="614">
        <v>0</v>
      </c>
      <c r="U58" s="1524"/>
      <c r="V58" s="398"/>
    </row>
    <row r="59" spans="1:22" ht="13.5" customHeight="1" thickBot="1" x14ac:dyDescent="0.25">
      <c r="A59" s="748" t="s">
        <v>17</v>
      </c>
      <c r="B59" s="817" t="s">
        <v>18</v>
      </c>
      <c r="C59" s="1525" t="s">
        <v>14</v>
      </c>
      <c r="D59" s="1526"/>
      <c r="E59" s="1526"/>
      <c r="F59" s="1526"/>
      <c r="G59" s="1526"/>
      <c r="H59" s="620">
        <f>+H56+H58</f>
        <v>346.6</v>
      </c>
      <c r="I59" s="620">
        <f t="shared" ref="I59:Q59" si="13">+I56+I58</f>
        <v>346.6</v>
      </c>
      <c r="J59" s="620">
        <f t="shared" si="13"/>
        <v>188.7</v>
      </c>
      <c r="K59" s="620">
        <f t="shared" si="13"/>
        <v>15</v>
      </c>
      <c r="L59" s="620">
        <f t="shared" si="13"/>
        <v>377.9</v>
      </c>
      <c r="M59" s="620">
        <f t="shared" si="13"/>
        <v>377.9</v>
      </c>
      <c r="N59" s="620">
        <f t="shared" si="13"/>
        <v>203.1</v>
      </c>
      <c r="O59" s="620">
        <f t="shared" si="13"/>
        <v>15</v>
      </c>
      <c r="P59" s="620">
        <f t="shared" si="13"/>
        <v>427.20000000000005</v>
      </c>
      <c r="Q59" s="620">
        <f t="shared" si="13"/>
        <v>469.90000000000003</v>
      </c>
      <c r="R59" s="818" t="s">
        <v>23</v>
      </c>
      <c r="S59" s="812"/>
      <c r="T59" s="813"/>
      <c r="U59" s="819"/>
      <c r="V59" s="398"/>
    </row>
    <row r="60" spans="1:22" ht="12.75" customHeight="1" thickBot="1" x14ac:dyDescent="0.25">
      <c r="A60" s="815" t="s">
        <v>17</v>
      </c>
      <c r="B60" s="732" t="s">
        <v>19</v>
      </c>
      <c r="C60" s="1504" t="s">
        <v>563</v>
      </c>
      <c r="D60" s="1505"/>
      <c r="E60" s="1505"/>
      <c r="F60" s="1505"/>
      <c r="G60" s="1505"/>
      <c r="H60" s="1506"/>
      <c r="I60" s="1506"/>
      <c r="J60" s="1506"/>
      <c r="K60" s="1506"/>
      <c r="L60" s="1506"/>
      <c r="M60" s="1506"/>
      <c r="N60" s="1506"/>
      <c r="O60" s="1506"/>
      <c r="P60" s="1506"/>
      <c r="Q60" s="1506"/>
      <c r="R60" s="1505"/>
      <c r="S60" s="1506"/>
      <c r="T60" s="1506"/>
      <c r="U60" s="1507"/>
      <c r="V60" s="398"/>
    </row>
    <row r="61" spans="1:22" ht="20.25" customHeight="1" thickBot="1" x14ac:dyDescent="0.25">
      <c r="A61" s="1508" t="s">
        <v>17</v>
      </c>
      <c r="B61" s="1438" t="s">
        <v>19</v>
      </c>
      <c r="C61" s="1511" t="s">
        <v>17</v>
      </c>
      <c r="D61" s="1513" t="s">
        <v>564</v>
      </c>
      <c r="E61" s="1514" t="s">
        <v>565</v>
      </c>
      <c r="F61" s="1515" t="s">
        <v>17</v>
      </c>
      <c r="G61" s="986" t="s">
        <v>224</v>
      </c>
      <c r="H61" s="820">
        <v>15</v>
      </c>
      <c r="I61" s="821">
        <v>15</v>
      </c>
      <c r="J61" s="821">
        <v>0</v>
      </c>
      <c r="K61" s="822">
        <v>0</v>
      </c>
      <c r="L61" s="820">
        <v>14.8</v>
      </c>
      <c r="M61" s="821">
        <v>14.8</v>
      </c>
      <c r="N61" s="821">
        <v>0</v>
      </c>
      <c r="O61" s="822">
        <v>0</v>
      </c>
      <c r="P61" s="823">
        <v>16.8</v>
      </c>
      <c r="Q61" s="823">
        <v>19</v>
      </c>
      <c r="R61" s="1516" t="s">
        <v>566</v>
      </c>
      <c r="S61" s="824">
        <v>25</v>
      </c>
      <c r="T61" s="821">
        <v>19</v>
      </c>
      <c r="U61" s="1517" t="s">
        <v>567</v>
      </c>
      <c r="V61" s="398"/>
    </row>
    <row r="62" spans="1:22" ht="16.5" customHeight="1" thickBot="1" x14ac:dyDescent="0.25">
      <c r="A62" s="1509"/>
      <c r="B62" s="1510"/>
      <c r="C62" s="1512"/>
      <c r="D62" s="1494"/>
      <c r="E62" s="1496"/>
      <c r="F62" s="1498"/>
      <c r="G62" s="987" t="s">
        <v>13</v>
      </c>
      <c r="H62" s="761">
        <f>+H61</f>
        <v>15</v>
      </c>
      <c r="I62" s="761">
        <f t="shared" ref="I62:Q62" si="14">+I61</f>
        <v>15</v>
      </c>
      <c r="J62" s="761">
        <f t="shared" si="14"/>
        <v>0</v>
      </c>
      <c r="K62" s="761">
        <f t="shared" si="14"/>
        <v>0</v>
      </c>
      <c r="L62" s="761">
        <f t="shared" si="14"/>
        <v>14.8</v>
      </c>
      <c r="M62" s="761">
        <f t="shared" si="14"/>
        <v>14.8</v>
      </c>
      <c r="N62" s="761">
        <f t="shared" si="14"/>
        <v>0</v>
      </c>
      <c r="O62" s="761">
        <f t="shared" si="14"/>
        <v>0</v>
      </c>
      <c r="P62" s="761">
        <f t="shared" si="14"/>
        <v>16.8</v>
      </c>
      <c r="Q62" s="762">
        <f t="shared" si="14"/>
        <v>19</v>
      </c>
      <c r="R62" s="1500"/>
      <c r="S62" s="701">
        <v>25</v>
      </c>
      <c r="T62" s="288">
        <v>19</v>
      </c>
      <c r="U62" s="1434"/>
      <c r="V62" s="398"/>
    </row>
    <row r="63" spans="1:22" ht="15.75" customHeight="1" thickBot="1" x14ac:dyDescent="0.25">
      <c r="A63" s="1408" t="s">
        <v>17</v>
      </c>
      <c r="B63" s="1411" t="s">
        <v>19</v>
      </c>
      <c r="C63" s="1489" t="s">
        <v>18</v>
      </c>
      <c r="D63" s="1494" t="s">
        <v>568</v>
      </c>
      <c r="E63" s="1495" t="s">
        <v>565</v>
      </c>
      <c r="F63" s="1497" t="s">
        <v>17</v>
      </c>
      <c r="G63" s="986" t="s">
        <v>224</v>
      </c>
      <c r="H63" s="820">
        <v>10</v>
      </c>
      <c r="I63" s="821">
        <v>10</v>
      </c>
      <c r="J63" s="821">
        <v>0</v>
      </c>
      <c r="K63" s="822">
        <v>0</v>
      </c>
      <c r="L63" s="820">
        <v>14.4</v>
      </c>
      <c r="M63" s="821">
        <v>14.4</v>
      </c>
      <c r="N63" s="821">
        <v>0</v>
      </c>
      <c r="O63" s="822">
        <v>0</v>
      </c>
      <c r="P63" s="823">
        <v>31.4</v>
      </c>
      <c r="Q63" s="823">
        <v>34.5</v>
      </c>
      <c r="R63" s="1499" t="s">
        <v>569</v>
      </c>
      <c r="S63" s="825">
        <v>22</v>
      </c>
      <c r="T63" s="731">
        <v>20</v>
      </c>
      <c r="U63" s="1432" t="s">
        <v>570</v>
      </c>
      <c r="V63" s="398"/>
    </row>
    <row r="64" spans="1:22" ht="12" thickBot="1" x14ac:dyDescent="0.25">
      <c r="A64" s="1408"/>
      <c r="B64" s="1411"/>
      <c r="C64" s="1489"/>
      <c r="D64" s="1494"/>
      <c r="E64" s="1496"/>
      <c r="F64" s="1498"/>
      <c r="G64" s="987" t="s">
        <v>13</v>
      </c>
      <c r="H64" s="761">
        <f>+H63</f>
        <v>10</v>
      </c>
      <c r="I64" s="761">
        <f t="shared" ref="I64:Q64" si="15">+I63</f>
        <v>10</v>
      </c>
      <c r="J64" s="761">
        <f t="shared" si="15"/>
        <v>0</v>
      </c>
      <c r="K64" s="761">
        <f t="shared" si="15"/>
        <v>0</v>
      </c>
      <c r="L64" s="761">
        <f t="shared" si="15"/>
        <v>14.4</v>
      </c>
      <c r="M64" s="761">
        <f t="shared" si="15"/>
        <v>14.4</v>
      </c>
      <c r="N64" s="761">
        <f t="shared" si="15"/>
        <v>0</v>
      </c>
      <c r="O64" s="761">
        <f t="shared" si="15"/>
        <v>0</v>
      </c>
      <c r="P64" s="761">
        <v>31.4</v>
      </c>
      <c r="Q64" s="762">
        <f t="shared" si="15"/>
        <v>34.5</v>
      </c>
      <c r="R64" s="1500"/>
      <c r="S64" s="701">
        <f>SUM(S63:S63)</f>
        <v>22</v>
      </c>
      <c r="T64" s="288">
        <v>20</v>
      </c>
      <c r="U64" s="1434"/>
    </row>
    <row r="65" spans="1:22" ht="15.75" customHeight="1" thickBot="1" x14ac:dyDescent="0.25">
      <c r="A65" s="1488" t="s">
        <v>17</v>
      </c>
      <c r="B65" s="1439" t="s">
        <v>19</v>
      </c>
      <c r="C65" s="1489" t="s">
        <v>19</v>
      </c>
      <c r="D65" s="1490" t="s">
        <v>571</v>
      </c>
      <c r="E65" s="1492" t="s">
        <v>565</v>
      </c>
      <c r="F65" s="1493" t="s">
        <v>17</v>
      </c>
      <c r="G65" s="988" t="s">
        <v>224</v>
      </c>
      <c r="H65" s="728">
        <v>52</v>
      </c>
      <c r="I65" s="730">
        <v>52</v>
      </c>
      <c r="J65" s="730">
        <v>0</v>
      </c>
      <c r="K65" s="826">
        <v>0</v>
      </c>
      <c r="L65" s="728">
        <v>18.5</v>
      </c>
      <c r="M65" s="730">
        <v>18.5</v>
      </c>
      <c r="N65" s="730">
        <v>0</v>
      </c>
      <c r="O65" s="826">
        <v>0</v>
      </c>
      <c r="P65" s="827">
        <v>16.5</v>
      </c>
      <c r="Q65" s="827">
        <v>18</v>
      </c>
      <c r="R65" s="1501" t="s">
        <v>572</v>
      </c>
      <c r="S65" s="825">
        <v>44</v>
      </c>
      <c r="T65" s="731">
        <v>32</v>
      </c>
      <c r="U65" s="1502" t="s">
        <v>573</v>
      </c>
      <c r="V65" s="398"/>
    </row>
    <row r="66" spans="1:22" ht="22.5" customHeight="1" thickBot="1" x14ac:dyDescent="0.25">
      <c r="A66" s="1488"/>
      <c r="B66" s="1439"/>
      <c r="C66" s="1489"/>
      <c r="D66" s="1491"/>
      <c r="E66" s="1492"/>
      <c r="F66" s="1493"/>
      <c r="G66" s="987" t="s">
        <v>13</v>
      </c>
      <c r="H66" s="761">
        <f>+H65</f>
        <v>52</v>
      </c>
      <c r="I66" s="761">
        <f t="shared" ref="I66:Q66" si="16">+I65</f>
        <v>52</v>
      </c>
      <c r="J66" s="761">
        <f t="shared" si="16"/>
        <v>0</v>
      </c>
      <c r="K66" s="761">
        <f t="shared" si="16"/>
        <v>0</v>
      </c>
      <c r="L66" s="761">
        <f t="shared" si="16"/>
        <v>18.5</v>
      </c>
      <c r="M66" s="761">
        <f t="shared" si="16"/>
        <v>18.5</v>
      </c>
      <c r="N66" s="761">
        <f t="shared" si="16"/>
        <v>0</v>
      </c>
      <c r="O66" s="761">
        <f t="shared" si="16"/>
        <v>0</v>
      </c>
      <c r="P66" s="761">
        <f t="shared" si="16"/>
        <v>16.5</v>
      </c>
      <c r="Q66" s="762">
        <f t="shared" si="16"/>
        <v>18</v>
      </c>
      <c r="R66" s="1501"/>
      <c r="S66" s="711">
        <f>SUM(S65:S65)</f>
        <v>44</v>
      </c>
      <c r="T66" s="614">
        <v>32</v>
      </c>
      <c r="U66" s="1503"/>
    </row>
    <row r="67" spans="1:22" s="229" customFormat="1" ht="22.5" customHeight="1" thickBot="1" x14ac:dyDescent="0.25">
      <c r="A67" s="1123" t="s">
        <v>17</v>
      </c>
      <c r="B67" s="1125" t="s">
        <v>19</v>
      </c>
      <c r="C67" s="1191" t="s">
        <v>20</v>
      </c>
      <c r="D67" s="1129" t="s">
        <v>574</v>
      </c>
      <c r="E67" s="1184" t="s">
        <v>575</v>
      </c>
      <c r="F67" s="1487" t="s">
        <v>576</v>
      </c>
      <c r="G67" s="983" t="s">
        <v>224</v>
      </c>
      <c r="H67" s="828">
        <v>21.1</v>
      </c>
      <c r="I67" s="829">
        <v>21.1</v>
      </c>
      <c r="J67" s="829">
        <v>0</v>
      </c>
      <c r="K67" s="830"/>
      <c r="L67" s="828">
        <v>23.3</v>
      </c>
      <c r="M67" s="829">
        <v>23.3</v>
      </c>
      <c r="N67" s="829">
        <v>0</v>
      </c>
      <c r="O67" s="830">
        <v>4</v>
      </c>
      <c r="P67" s="831">
        <v>50</v>
      </c>
      <c r="Q67" s="831">
        <v>50</v>
      </c>
      <c r="R67" s="1479" t="s">
        <v>577</v>
      </c>
      <c r="S67" s="700">
        <v>2</v>
      </c>
      <c r="T67" s="727">
        <v>2</v>
      </c>
      <c r="U67" s="1366"/>
    </row>
    <row r="68" spans="1:22" s="229" customFormat="1" ht="22.5" customHeight="1" thickBot="1" x14ac:dyDescent="0.25">
      <c r="A68" s="1124"/>
      <c r="B68" s="1126"/>
      <c r="C68" s="1205"/>
      <c r="D68" s="1130"/>
      <c r="E68" s="1477"/>
      <c r="F68" s="1487"/>
      <c r="G68" s="985" t="s">
        <v>13</v>
      </c>
      <c r="H68" s="761">
        <f>+H67</f>
        <v>21.1</v>
      </c>
      <c r="I68" s="761">
        <f t="shared" ref="I68:Q68" si="17">+I67</f>
        <v>21.1</v>
      </c>
      <c r="J68" s="761">
        <f t="shared" si="17"/>
        <v>0</v>
      </c>
      <c r="K68" s="761">
        <f t="shared" si="17"/>
        <v>0</v>
      </c>
      <c r="L68" s="761">
        <f t="shared" si="17"/>
        <v>23.3</v>
      </c>
      <c r="M68" s="761">
        <f t="shared" si="17"/>
        <v>23.3</v>
      </c>
      <c r="N68" s="761">
        <f t="shared" si="17"/>
        <v>0</v>
      </c>
      <c r="O68" s="761">
        <f t="shared" si="17"/>
        <v>4</v>
      </c>
      <c r="P68" s="761">
        <f t="shared" si="17"/>
        <v>50</v>
      </c>
      <c r="Q68" s="762">
        <f t="shared" si="17"/>
        <v>50</v>
      </c>
      <c r="R68" s="1480"/>
      <c r="S68" s="711">
        <f>SUM(S67)</f>
        <v>2</v>
      </c>
      <c r="T68" s="614">
        <v>2</v>
      </c>
      <c r="U68" s="1368"/>
    </row>
    <row r="69" spans="1:22" s="229" customFormat="1" ht="22.5" hidden="1" customHeight="1" outlineLevel="1" x14ac:dyDescent="0.2">
      <c r="A69" s="1123" t="s">
        <v>17</v>
      </c>
      <c r="B69" s="1125" t="s">
        <v>19</v>
      </c>
      <c r="C69" s="1191" t="s">
        <v>539</v>
      </c>
      <c r="D69" s="1129" t="s">
        <v>574</v>
      </c>
      <c r="E69" s="1184" t="s">
        <v>575</v>
      </c>
      <c r="F69" s="1199">
        <v>1</v>
      </c>
      <c r="G69" s="832" t="s">
        <v>224</v>
      </c>
      <c r="H69" s="833">
        <v>38100</v>
      </c>
      <c r="I69" s="834">
        <v>30800</v>
      </c>
      <c r="J69" s="834">
        <v>14800</v>
      </c>
      <c r="K69" s="835">
        <v>7300</v>
      </c>
      <c r="L69" s="836">
        <v>23600</v>
      </c>
      <c r="M69" s="837">
        <v>23600</v>
      </c>
      <c r="N69" s="838"/>
      <c r="O69" s="839"/>
      <c r="P69" s="840">
        <v>46000</v>
      </c>
      <c r="Q69" s="840">
        <v>46000</v>
      </c>
      <c r="R69" s="1479" t="s">
        <v>577</v>
      </c>
      <c r="S69" s="700">
        <v>1</v>
      </c>
      <c r="T69" s="727">
        <v>1</v>
      </c>
      <c r="U69" s="726">
        <v>1</v>
      </c>
    </row>
    <row r="70" spans="1:22" s="229" customFormat="1" ht="22.5" hidden="1" customHeight="1" outlineLevel="1" x14ac:dyDescent="0.2">
      <c r="A70" s="1124"/>
      <c r="B70" s="1126"/>
      <c r="C70" s="1205"/>
      <c r="D70" s="1130"/>
      <c r="E70" s="1477"/>
      <c r="F70" s="1478"/>
      <c r="G70" s="602" t="s">
        <v>13</v>
      </c>
      <c r="H70" s="603">
        <f t="shared" ref="H70:Q70" si="18">SUM(H69)</f>
        <v>38100</v>
      </c>
      <c r="I70" s="604">
        <f t="shared" si="18"/>
        <v>30800</v>
      </c>
      <c r="J70" s="604">
        <f t="shared" si="18"/>
        <v>14800</v>
      </c>
      <c r="K70" s="605">
        <f t="shared" si="18"/>
        <v>7300</v>
      </c>
      <c r="L70" s="603">
        <f t="shared" si="18"/>
        <v>23600</v>
      </c>
      <c r="M70" s="604">
        <f t="shared" si="18"/>
        <v>23600</v>
      </c>
      <c r="N70" s="604">
        <f t="shared" si="18"/>
        <v>0</v>
      </c>
      <c r="O70" s="606">
        <f t="shared" si="18"/>
        <v>0</v>
      </c>
      <c r="P70" s="607">
        <f t="shared" si="18"/>
        <v>46000</v>
      </c>
      <c r="Q70" s="607">
        <f t="shared" si="18"/>
        <v>46000</v>
      </c>
      <c r="R70" s="1480"/>
      <c r="S70" s="711">
        <f>SUM(S69)</f>
        <v>1</v>
      </c>
      <c r="T70" s="614">
        <f>SUM(T69)</f>
        <v>1</v>
      </c>
      <c r="U70" s="659">
        <f>SUM(U69)</f>
        <v>1</v>
      </c>
    </row>
    <row r="71" spans="1:22" s="229" customFormat="1" ht="22.5" hidden="1" customHeight="1" outlineLevel="1" x14ac:dyDescent="0.2">
      <c r="A71" s="1123" t="s">
        <v>17</v>
      </c>
      <c r="B71" s="1125" t="s">
        <v>19</v>
      </c>
      <c r="C71" s="1191" t="s">
        <v>540</v>
      </c>
      <c r="D71" s="1129" t="s">
        <v>574</v>
      </c>
      <c r="E71" s="1184" t="s">
        <v>575</v>
      </c>
      <c r="F71" s="1199">
        <v>14</v>
      </c>
      <c r="G71" s="733" t="s">
        <v>224</v>
      </c>
      <c r="H71" s="584"/>
      <c r="I71" s="585"/>
      <c r="J71" s="585"/>
      <c r="K71" s="586"/>
      <c r="L71" s="841"/>
      <c r="M71" s="842"/>
      <c r="N71" s="842"/>
      <c r="O71" s="843"/>
      <c r="P71" s="588"/>
      <c r="Q71" s="588"/>
      <c r="R71" s="1479" t="s">
        <v>577</v>
      </c>
      <c r="S71" s="700"/>
      <c r="T71" s="727"/>
      <c r="U71" s="726"/>
    </row>
    <row r="72" spans="1:22" s="229" customFormat="1" ht="22.5" hidden="1" customHeight="1" outlineLevel="1" x14ac:dyDescent="0.2">
      <c r="A72" s="1124"/>
      <c r="B72" s="1126"/>
      <c r="C72" s="1205"/>
      <c r="D72" s="1130"/>
      <c r="E72" s="1477"/>
      <c r="F72" s="1478"/>
      <c r="G72" s="602" t="s">
        <v>13</v>
      </c>
      <c r="H72" s="603">
        <f t="shared" ref="H72:Q72" si="19">SUM(H71)</f>
        <v>0</v>
      </c>
      <c r="I72" s="604">
        <f t="shared" si="19"/>
        <v>0</v>
      </c>
      <c r="J72" s="604">
        <f t="shared" si="19"/>
        <v>0</v>
      </c>
      <c r="K72" s="605">
        <f t="shared" si="19"/>
        <v>0</v>
      </c>
      <c r="L72" s="603">
        <f t="shared" si="19"/>
        <v>0</v>
      </c>
      <c r="M72" s="604">
        <f t="shared" si="19"/>
        <v>0</v>
      </c>
      <c r="N72" s="604">
        <f t="shared" si="19"/>
        <v>0</v>
      </c>
      <c r="O72" s="606">
        <f t="shared" si="19"/>
        <v>0</v>
      </c>
      <c r="P72" s="607">
        <f t="shared" si="19"/>
        <v>0</v>
      </c>
      <c r="Q72" s="607">
        <f t="shared" si="19"/>
        <v>0</v>
      </c>
      <c r="R72" s="1480"/>
      <c r="S72" s="711">
        <f>SUM(S71)</f>
        <v>0</v>
      </c>
      <c r="T72" s="614">
        <f>SUM(T71)</f>
        <v>0</v>
      </c>
      <c r="U72" s="659">
        <f>SUM(U71)</f>
        <v>0</v>
      </c>
    </row>
    <row r="73" spans="1:22" s="229" customFormat="1" ht="22.5" hidden="1" customHeight="1" outlineLevel="1" x14ac:dyDescent="0.2">
      <c r="A73" s="1123" t="s">
        <v>17</v>
      </c>
      <c r="B73" s="1125" t="s">
        <v>19</v>
      </c>
      <c r="C73" s="1191" t="s">
        <v>578</v>
      </c>
      <c r="D73" s="1129" t="s">
        <v>574</v>
      </c>
      <c r="E73" s="1184" t="s">
        <v>575</v>
      </c>
      <c r="F73" s="1199">
        <v>15</v>
      </c>
      <c r="G73" s="733" t="s">
        <v>224</v>
      </c>
      <c r="H73" s="584"/>
      <c r="I73" s="585"/>
      <c r="J73" s="585"/>
      <c r="K73" s="586"/>
      <c r="L73" s="841"/>
      <c r="M73" s="842"/>
      <c r="N73" s="842"/>
      <c r="O73" s="843"/>
      <c r="P73" s="588"/>
      <c r="Q73" s="588"/>
      <c r="R73" s="1479" t="s">
        <v>577</v>
      </c>
      <c r="S73" s="700"/>
      <c r="T73" s="727"/>
      <c r="U73" s="726"/>
    </row>
    <row r="74" spans="1:22" s="229" customFormat="1" ht="22.5" hidden="1" customHeight="1" outlineLevel="1" x14ac:dyDescent="0.2">
      <c r="A74" s="1124"/>
      <c r="B74" s="1126"/>
      <c r="C74" s="1205"/>
      <c r="D74" s="1130"/>
      <c r="E74" s="1477"/>
      <c r="F74" s="1478"/>
      <c r="G74" s="602" t="s">
        <v>13</v>
      </c>
      <c r="H74" s="603">
        <f t="shared" ref="H74:Q74" si="20">SUM(H73)</f>
        <v>0</v>
      </c>
      <c r="I74" s="604">
        <f t="shared" si="20"/>
        <v>0</v>
      </c>
      <c r="J74" s="604">
        <f t="shared" si="20"/>
        <v>0</v>
      </c>
      <c r="K74" s="605">
        <f t="shared" si="20"/>
        <v>0</v>
      </c>
      <c r="L74" s="603">
        <f t="shared" si="20"/>
        <v>0</v>
      </c>
      <c r="M74" s="604">
        <f t="shared" si="20"/>
        <v>0</v>
      </c>
      <c r="N74" s="604">
        <f t="shared" si="20"/>
        <v>0</v>
      </c>
      <c r="O74" s="606">
        <f t="shared" si="20"/>
        <v>0</v>
      </c>
      <c r="P74" s="607">
        <f t="shared" si="20"/>
        <v>0</v>
      </c>
      <c r="Q74" s="607">
        <f t="shared" si="20"/>
        <v>0</v>
      </c>
      <c r="R74" s="1480"/>
      <c r="S74" s="711">
        <f>SUM(S73)</f>
        <v>0</v>
      </c>
      <c r="T74" s="614">
        <f>SUM(T73)</f>
        <v>0</v>
      </c>
      <c r="U74" s="659">
        <f>SUM(U73)</f>
        <v>0</v>
      </c>
    </row>
    <row r="75" spans="1:22" s="229" customFormat="1" ht="22.5" hidden="1" customHeight="1" outlineLevel="1" x14ac:dyDescent="0.2">
      <c r="A75" s="1123" t="s">
        <v>17</v>
      </c>
      <c r="B75" s="1125" t="s">
        <v>19</v>
      </c>
      <c r="C75" s="1191" t="s">
        <v>579</v>
      </c>
      <c r="D75" s="1129" t="s">
        <v>574</v>
      </c>
      <c r="E75" s="1184" t="s">
        <v>575</v>
      </c>
      <c r="F75" s="1199">
        <v>16</v>
      </c>
      <c r="G75" s="733" t="s">
        <v>224</v>
      </c>
      <c r="H75" s="584"/>
      <c r="I75" s="585"/>
      <c r="J75" s="585"/>
      <c r="K75" s="586"/>
      <c r="L75" s="841"/>
      <c r="M75" s="842"/>
      <c r="N75" s="842"/>
      <c r="O75" s="843"/>
      <c r="P75" s="588"/>
      <c r="Q75" s="588"/>
      <c r="R75" s="1479" t="s">
        <v>577</v>
      </c>
      <c r="S75" s="700"/>
      <c r="T75" s="727"/>
      <c r="U75" s="726"/>
    </row>
    <row r="76" spans="1:22" s="229" customFormat="1" ht="22.5" hidden="1" customHeight="1" outlineLevel="1" x14ac:dyDescent="0.2">
      <c r="A76" s="1124"/>
      <c r="B76" s="1126"/>
      <c r="C76" s="1205"/>
      <c r="D76" s="1130"/>
      <c r="E76" s="1477"/>
      <c r="F76" s="1478"/>
      <c r="G76" s="602" t="s">
        <v>13</v>
      </c>
      <c r="H76" s="603">
        <f t="shared" ref="H76:Q76" si="21">SUM(H75)</f>
        <v>0</v>
      </c>
      <c r="I76" s="604">
        <f t="shared" si="21"/>
        <v>0</v>
      </c>
      <c r="J76" s="604">
        <f t="shared" si="21"/>
        <v>0</v>
      </c>
      <c r="K76" s="605">
        <f t="shared" si="21"/>
        <v>0</v>
      </c>
      <c r="L76" s="603">
        <f t="shared" si="21"/>
        <v>0</v>
      </c>
      <c r="M76" s="604">
        <f t="shared" si="21"/>
        <v>0</v>
      </c>
      <c r="N76" s="604">
        <f t="shared" si="21"/>
        <v>0</v>
      </c>
      <c r="O76" s="606">
        <f t="shared" si="21"/>
        <v>0</v>
      </c>
      <c r="P76" s="607">
        <f t="shared" si="21"/>
        <v>0</v>
      </c>
      <c r="Q76" s="607">
        <f t="shared" si="21"/>
        <v>0</v>
      </c>
      <c r="R76" s="1480"/>
      <c r="S76" s="711">
        <f>SUM(S75)</f>
        <v>0</v>
      </c>
      <c r="T76" s="614">
        <f>SUM(T75)</f>
        <v>0</v>
      </c>
      <c r="U76" s="659">
        <f>SUM(U75)</f>
        <v>0</v>
      </c>
    </row>
    <row r="77" spans="1:22" s="229" customFormat="1" ht="22.5" hidden="1" customHeight="1" outlineLevel="1" x14ac:dyDescent="0.2">
      <c r="A77" s="1123" t="s">
        <v>17</v>
      </c>
      <c r="B77" s="1125" t="s">
        <v>19</v>
      </c>
      <c r="C77" s="1191" t="s">
        <v>580</v>
      </c>
      <c r="D77" s="1129" t="s">
        <v>574</v>
      </c>
      <c r="E77" s="1184" t="s">
        <v>575</v>
      </c>
      <c r="F77" s="1199">
        <v>17</v>
      </c>
      <c r="G77" s="733" t="s">
        <v>224</v>
      </c>
      <c r="H77" s="584"/>
      <c r="I77" s="585"/>
      <c r="J77" s="585"/>
      <c r="K77" s="586"/>
      <c r="L77" s="841"/>
      <c r="M77" s="842"/>
      <c r="N77" s="842"/>
      <c r="O77" s="843"/>
      <c r="P77" s="588"/>
      <c r="Q77" s="588"/>
      <c r="R77" s="1479" t="s">
        <v>577</v>
      </c>
      <c r="S77" s="700"/>
      <c r="T77" s="727"/>
      <c r="U77" s="726"/>
    </row>
    <row r="78" spans="1:22" s="229" customFormat="1" ht="22.5" hidden="1" customHeight="1" outlineLevel="1" x14ac:dyDescent="0.2">
      <c r="A78" s="1124"/>
      <c r="B78" s="1126"/>
      <c r="C78" s="1205"/>
      <c r="D78" s="1130"/>
      <c r="E78" s="1477"/>
      <c r="F78" s="1478"/>
      <c r="G78" s="602" t="s">
        <v>13</v>
      </c>
      <c r="H78" s="603">
        <f t="shared" ref="H78:Q78" si="22">SUM(H77)</f>
        <v>0</v>
      </c>
      <c r="I78" s="604">
        <f t="shared" si="22"/>
        <v>0</v>
      </c>
      <c r="J78" s="604">
        <f t="shared" si="22"/>
        <v>0</v>
      </c>
      <c r="K78" s="605">
        <f t="shared" si="22"/>
        <v>0</v>
      </c>
      <c r="L78" s="603">
        <f t="shared" si="22"/>
        <v>0</v>
      </c>
      <c r="M78" s="604">
        <f t="shared" si="22"/>
        <v>0</v>
      </c>
      <c r="N78" s="604">
        <f t="shared" si="22"/>
        <v>0</v>
      </c>
      <c r="O78" s="606">
        <f t="shared" si="22"/>
        <v>0</v>
      </c>
      <c r="P78" s="607">
        <f t="shared" si="22"/>
        <v>0</v>
      </c>
      <c r="Q78" s="607">
        <f t="shared" si="22"/>
        <v>0</v>
      </c>
      <c r="R78" s="1480"/>
      <c r="S78" s="711">
        <f>SUM(S77)</f>
        <v>0</v>
      </c>
      <c r="T78" s="614">
        <f>SUM(T77)</f>
        <v>0</v>
      </c>
      <c r="U78" s="659">
        <f>SUM(U77)</f>
        <v>0</v>
      </c>
    </row>
    <row r="79" spans="1:22" s="229" customFormat="1" ht="22.5" hidden="1" customHeight="1" outlineLevel="1" x14ac:dyDescent="0.2">
      <c r="A79" s="1123" t="s">
        <v>17</v>
      </c>
      <c r="B79" s="1125" t="s">
        <v>19</v>
      </c>
      <c r="C79" s="1191" t="s">
        <v>581</v>
      </c>
      <c r="D79" s="1129" t="s">
        <v>574</v>
      </c>
      <c r="E79" s="1184" t="s">
        <v>575</v>
      </c>
      <c r="F79" s="1199">
        <v>18</v>
      </c>
      <c r="G79" s="733" t="s">
        <v>224</v>
      </c>
      <c r="H79" s="584"/>
      <c r="I79" s="585"/>
      <c r="J79" s="585"/>
      <c r="K79" s="586"/>
      <c r="L79" s="841"/>
      <c r="M79" s="842"/>
      <c r="N79" s="842"/>
      <c r="O79" s="843"/>
      <c r="P79" s="588"/>
      <c r="Q79" s="588"/>
      <c r="R79" s="1479" t="s">
        <v>577</v>
      </c>
      <c r="S79" s="700"/>
      <c r="T79" s="727"/>
      <c r="U79" s="726"/>
    </row>
    <row r="80" spans="1:22" s="229" customFormat="1" ht="22.5" hidden="1" customHeight="1" outlineLevel="1" x14ac:dyDescent="0.2">
      <c r="A80" s="1124"/>
      <c r="B80" s="1126"/>
      <c r="C80" s="1205"/>
      <c r="D80" s="1130"/>
      <c r="E80" s="1477"/>
      <c r="F80" s="1478"/>
      <c r="G80" s="602" t="s">
        <v>13</v>
      </c>
      <c r="H80" s="603">
        <f t="shared" ref="H80:Q80" si="23">SUM(H79)</f>
        <v>0</v>
      </c>
      <c r="I80" s="604">
        <f t="shared" si="23"/>
        <v>0</v>
      </c>
      <c r="J80" s="604">
        <f t="shared" si="23"/>
        <v>0</v>
      </c>
      <c r="K80" s="605">
        <f t="shared" si="23"/>
        <v>0</v>
      </c>
      <c r="L80" s="603">
        <f t="shared" si="23"/>
        <v>0</v>
      </c>
      <c r="M80" s="604">
        <f t="shared" si="23"/>
        <v>0</v>
      </c>
      <c r="N80" s="604">
        <f t="shared" si="23"/>
        <v>0</v>
      </c>
      <c r="O80" s="606">
        <f t="shared" si="23"/>
        <v>0</v>
      </c>
      <c r="P80" s="607">
        <f t="shared" si="23"/>
        <v>0</v>
      </c>
      <c r="Q80" s="607">
        <f t="shared" si="23"/>
        <v>0</v>
      </c>
      <c r="R80" s="1480"/>
      <c r="S80" s="711">
        <f>SUM(S79)</f>
        <v>0</v>
      </c>
      <c r="T80" s="614">
        <f>SUM(T79)</f>
        <v>0</v>
      </c>
      <c r="U80" s="659">
        <f>SUM(U79)</f>
        <v>0</v>
      </c>
    </row>
    <row r="81" spans="1:31" s="229" customFormat="1" ht="22.5" hidden="1" customHeight="1" outlineLevel="1" x14ac:dyDescent="0.2">
      <c r="A81" s="1123" t="s">
        <v>17</v>
      </c>
      <c r="B81" s="1125" t="s">
        <v>19</v>
      </c>
      <c r="C81" s="1191" t="s">
        <v>582</v>
      </c>
      <c r="D81" s="1129" t="s">
        <v>574</v>
      </c>
      <c r="E81" s="1184" t="s">
        <v>575</v>
      </c>
      <c r="F81" s="1199">
        <v>19</v>
      </c>
      <c r="G81" s="733" t="s">
        <v>224</v>
      </c>
      <c r="H81" s="584"/>
      <c r="I81" s="585"/>
      <c r="J81" s="585"/>
      <c r="K81" s="586"/>
      <c r="L81" s="841"/>
      <c r="M81" s="842"/>
      <c r="N81" s="842"/>
      <c r="O81" s="843"/>
      <c r="P81" s="588"/>
      <c r="Q81" s="588"/>
      <c r="R81" s="1479" t="s">
        <v>577</v>
      </c>
      <c r="S81" s="700"/>
      <c r="T81" s="727"/>
      <c r="U81" s="726"/>
    </row>
    <row r="82" spans="1:31" s="229" customFormat="1" ht="22.5" hidden="1" customHeight="1" outlineLevel="1" x14ac:dyDescent="0.2">
      <c r="A82" s="1124"/>
      <c r="B82" s="1126"/>
      <c r="C82" s="1205"/>
      <c r="D82" s="1130"/>
      <c r="E82" s="1477"/>
      <c r="F82" s="1478"/>
      <c r="G82" s="602" t="s">
        <v>13</v>
      </c>
      <c r="H82" s="603">
        <f t="shared" ref="H82:Q82" si="24">SUM(H81)</f>
        <v>0</v>
      </c>
      <c r="I82" s="604">
        <f t="shared" si="24"/>
        <v>0</v>
      </c>
      <c r="J82" s="604">
        <f t="shared" si="24"/>
        <v>0</v>
      </c>
      <c r="K82" s="605">
        <f t="shared" si="24"/>
        <v>0</v>
      </c>
      <c r="L82" s="603">
        <f t="shared" si="24"/>
        <v>0</v>
      </c>
      <c r="M82" s="604">
        <f t="shared" si="24"/>
        <v>0</v>
      </c>
      <c r="N82" s="604">
        <f t="shared" si="24"/>
        <v>0</v>
      </c>
      <c r="O82" s="606">
        <f t="shared" si="24"/>
        <v>0</v>
      </c>
      <c r="P82" s="607">
        <f t="shared" si="24"/>
        <v>0</v>
      </c>
      <c r="Q82" s="607">
        <f t="shared" si="24"/>
        <v>0</v>
      </c>
      <c r="R82" s="1480"/>
      <c r="S82" s="711">
        <f>SUM(S81)</f>
        <v>0</v>
      </c>
      <c r="T82" s="614">
        <f>SUM(T81)</f>
        <v>0</v>
      </c>
      <c r="U82" s="659">
        <f>SUM(U81)</f>
        <v>0</v>
      </c>
    </row>
    <row r="83" spans="1:31" s="229" customFormat="1" ht="22.5" hidden="1" customHeight="1" outlineLevel="1" x14ac:dyDescent="0.2">
      <c r="A83" s="1123" t="s">
        <v>17</v>
      </c>
      <c r="B83" s="1125" t="s">
        <v>19</v>
      </c>
      <c r="C83" s="1191" t="s">
        <v>583</v>
      </c>
      <c r="D83" s="1129" t="s">
        <v>574</v>
      </c>
      <c r="E83" s="1184" t="s">
        <v>575</v>
      </c>
      <c r="F83" s="1199">
        <v>20</v>
      </c>
      <c r="G83" s="733" t="s">
        <v>224</v>
      </c>
      <c r="H83" s="584"/>
      <c r="I83" s="585"/>
      <c r="J83" s="585"/>
      <c r="K83" s="586"/>
      <c r="L83" s="841"/>
      <c r="M83" s="842"/>
      <c r="N83" s="842"/>
      <c r="O83" s="843"/>
      <c r="P83" s="588"/>
      <c r="Q83" s="588"/>
      <c r="R83" s="1479" t="s">
        <v>577</v>
      </c>
      <c r="S83" s="700"/>
      <c r="T83" s="727"/>
      <c r="U83" s="726"/>
    </row>
    <row r="84" spans="1:31" s="229" customFormat="1" ht="22.5" hidden="1" customHeight="1" outlineLevel="1" x14ac:dyDescent="0.2">
      <c r="A84" s="1124"/>
      <c r="B84" s="1126"/>
      <c r="C84" s="1205"/>
      <c r="D84" s="1130"/>
      <c r="E84" s="1477"/>
      <c r="F84" s="1478"/>
      <c r="G84" s="602" t="s">
        <v>13</v>
      </c>
      <c r="H84" s="603">
        <f t="shared" ref="H84:Q84" si="25">SUM(H83)</f>
        <v>0</v>
      </c>
      <c r="I84" s="604">
        <f t="shared" si="25"/>
        <v>0</v>
      </c>
      <c r="J84" s="604">
        <f t="shared" si="25"/>
        <v>0</v>
      </c>
      <c r="K84" s="605">
        <f t="shared" si="25"/>
        <v>0</v>
      </c>
      <c r="L84" s="603">
        <f t="shared" si="25"/>
        <v>0</v>
      </c>
      <c r="M84" s="604">
        <f t="shared" si="25"/>
        <v>0</v>
      </c>
      <c r="N84" s="604">
        <f t="shared" si="25"/>
        <v>0</v>
      </c>
      <c r="O84" s="606">
        <f t="shared" si="25"/>
        <v>0</v>
      </c>
      <c r="P84" s="607">
        <f t="shared" si="25"/>
        <v>0</v>
      </c>
      <c r="Q84" s="607">
        <f t="shared" si="25"/>
        <v>0</v>
      </c>
      <c r="R84" s="1480"/>
      <c r="S84" s="711">
        <f>SUM(S83)</f>
        <v>0</v>
      </c>
      <c r="T84" s="614">
        <f>SUM(T83)</f>
        <v>0</v>
      </c>
      <c r="U84" s="659">
        <f>SUM(U83)</f>
        <v>0</v>
      </c>
    </row>
    <row r="85" spans="1:31" s="229" customFormat="1" ht="22.5" hidden="1" customHeight="1" outlineLevel="1" x14ac:dyDescent="0.2">
      <c r="A85" s="1123" t="s">
        <v>17</v>
      </c>
      <c r="B85" s="1125" t="s">
        <v>19</v>
      </c>
      <c r="C85" s="1191" t="s">
        <v>584</v>
      </c>
      <c r="D85" s="1129" t="s">
        <v>574</v>
      </c>
      <c r="E85" s="1184" t="s">
        <v>575</v>
      </c>
      <c r="F85" s="1199">
        <v>21</v>
      </c>
      <c r="G85" s="733" t="s">
        <v>224</v>
      </c>
      <c r="H85" s="584"/>
      <c r="I85" s="585"/>
      <c r="J85" s="585"/>
      <c r="K85" s="586"/>
      <c r="L85" s="841"/>
      <c r="M85" s="842"/>
      <c r="N85" s="842"/>
      <c r="O85" s="843"/>
      <c r="P85" s="588"/>
      <c r="Q85" s="588"/>
      <c r="R85" s="1479" t="s">
        <v>577</v>
      </c>
      <c r="S85" s="700"/>
      <c r="T85" s="727"/>
      <c r="U85" s="726"/>
    </row>
    <row r="86" spans="1:31" s="229" customFormat="1" ht="22.5" hidden="1" customHeight="1" outlineLevel="1" x14ac:dyDescent="0.2">
      <c r="A86" s="1124"/>
      <c r="B86" s="1126"/>
      <c r="C86" s="1205"/>
      <c r="D86" s="1130"/>
      <c r="E86" s="1477"/>
      <c r="F86" s="1478"/>
      <c r="G86" s="602" t="s">
        <v>13</v>
      </c>
      <c r="H86" s="603">
        <f t="shared" ref="H86:Q86" si="26">SUM(H85)</f>
        <v>0</v>
      </c>
      <c r="I86" s="604">
        <f t="shared" si="26"/>
        <v>0</v>
      </c>
      <c r="J86" s="604">
        <f t="shared" si="26"/>
        <v>0</v>
      </c>
      <c r="K86" s="605">
        <f t="shared" si="26"/>
        <v>0</v>
      </c>
      <c r="L86" s="603">
        <f t="shared" si="26"/>
        <v>0</v>
      </c>
      <c r="M86" s="604">
        <f t="shared" si="26"/>
        <v>0</v>
      </c>
      <c r="N86" s="604">
        <f t="shared" si="26"/>
        <v>0</v>
      </c>
      <c r="O86" s="606">
        <f t="shared" si="26"/>
        <v>0</v>
      </c>
      <c r="P86" s="607">
        <f t="shared" si="26"/>
        <v>0</v>
      </c>
      <c r="Q86" s="607">
        <f t="shared" si="26"/>
        <v>0</v>
      </c>
      <c r="R86" s="1480"/>
      <c r="S86" s="711">
        <f>SUM(S85)</f>
        <v>0</v>
      </c>
      <c r="T86" s="614">
        <f>SUM(T85)</f>
        <v>0</v>
      </c>
      <c r="U86" s="659">
        <f>SUM(U85)</f>
        <v>0</v>
      </c>
    </row>
    <row r="87" spans="1:31" ht="15" customHeight="1" collapsed="1" thickBot="1" x14ac:dyDescent="0.25">
      <c r="A87" s="748" t="s">
        <v>17</v>
      </c>
      <c r="B87" s="817" t="s">
        <v>19</v>
      </c>
      <c r="C87" s="1481" t="s">
        <v>14</v>
      </c>
      <c r="D87" s="1482"/>
      <c r="E87" s="1482"/>
      <c r="F87" s="1482"/>
      <c r="G87" s="1482"/>
      <c r="H87" s="616">
        <f>+H62+H64+H66+H68</f>
        <v>98.1</v>
      </c>
      <c r="I87" s="616">
        <f t="shared" ref="I87:Q87" si="27">+I62+I64+I66+I68</f>
        <v>98.1</v>
      </c>
      <c r="J87" s="616">
        <f t="shared" si="27"/>
        <v>0</v>
      </c>
      <c r="K87" s="616">
        <f t="shared" si="27"/>
        <v>0</v>
      </c>
      <c r="L87" s="616">
        <f t="shared" si="27"/>
        <v>71</v>
      </c>
      <c r="M87" s="616">
        <f t="shared" si="27"/>
        <v>71</v>
      </c>
      <c r="N87" s="616">
        <f t="shared" si="27"/>
        <v>0</v>
      </c>
      <c r="O87" s="616">
        <f t="shared" si="27"/>
        <v>4</v>
      </c>
      <c r="P87" s="616">
        <f t="shared" si="27"/>
        <v>114.7</v>
      </c>
      <c r="Q87" s="616">
        <f t="shared" si="27"/>
        <v>121.5</v>
      </c>
      <c r="R87" s="811" t="s">
        <v>23</v>
      </c>
      <c r="S87" s="844" t="s">
        <v>23</v>
      </c>
      <c r="T87" s="813" t="s">
        <v>23</v>
      </c>
      <c r="U87" s="845" t="s">
        <v>23</v>
      </c>
      <c r="V87" s="398"/>
    </row>
    <row r="88" spans="1:31" ht="15.75" customHeight="1" thickBot="1" x14ac:dyDescent="0.25">
      <c r="A88" s="815" t="s">
        <v>17</v>
      </c>
      <c r="B88" s="1483" t="s">
        <v>15</v>
      </c>
      <c r="C88" s="1484"/>
      <c r="D88" s="1484"/>
      <c r="E88" s="1484"/>
      <c r="F88" s="1484"/>
      <c r="G88" s="1484"/>
      <c r="H88" s="846">
        <f>SUM(H51,H59,H87)</f>
        <v>1282.7999999999997</v>
      </c>
      <c r="I88" s="846">
        <f t="shared" ref="I88:Q88" si="28">SUM(I51,I59,I87)</f>
        <v>1282.7999999999997</v>
      </c>
      <c r="J88" s="846">
        <f t="shared" si="28"/>
        <v>769.90000000000009</v>
      </c>
      <c r="K88" s="846">
        <f t="shared" si="28"/>
        <v>17</v>
      </c>
      <c r="L88" s="846">
        <f t="shared" si="28"/>
        <v>1393.6</v>
      </c>
      <c r="M88" s="846">
        <f t="shared" si="28"/>
        <v>1386.9</v>
      </c>
      <c r="N88" s="846">
        <f t="shared" si="28"/>
        <v>841.80000000000007</v>
      </c>
      <c r="O88" s="846">
        <f t="shared" si="28"/>
        <v>21</v>
      </c>
      <c r="P88" s="846">
        <f t="shared" si="28"/>
        <v>1786.1000000000001</v>
      </c>
      <c r="Q88" s="846">
        <f t="shared" si="28"/>
        <v>1952.3000000000002</v>
      </c>
      <c r="R88" s="847" t="s">
        <v>23</v>
      </c>
      <c r="S88" s="848" t="s">
        <v>23</v>
      </c>
      <c r="T88" s="849" t="s">
        <v>23</v>
      </c>
      <c r="U88" s="850" t="s">
        <v>23</v>
      </c>
      <c r="V88" s="398"/>
    </row>
    <row r="89" spans="1:31" ht="15.75" customHeight="1" thickBot="1" x14ac:dyDescent="0.25">
      <c r="A89" s="1485" t="s">
        <v>16</v>
      </c>
      <c r="B89" s="1486"/>
      <c r="C89" s="1486"/>
      <c r="D89" s="1486"/>
      <c r="E89" s="1486"/>
      <c r="F89" s="1486"/>
      <c r="G89" s="1486"/>
      <c r="H89" s="484">
        <f t="shared" ref="H89:Q89" si="29">H88</f>
        <v>1282.7999999999997</v>
      </c>
      <c r="I89" s="484">
        <f t="shared" si="29"/>
        <v>1282.7999999999997</v>
      </c>
      <c r="J89" s="484">
        <f t="shared" si="29"/>
        <v>769.90000000000009</v>
      </c>
      <c r="K89" s="484">
        <f t="shared" si="29"/>
        <v>17</v>
      </c>
      <c r="L89" s="484">
        <f t="shared" si="29"/>
        <v>1393.6</v>
      </c>
      <c r="M89" s="484">
        <f t="shared" si="29"/>
        <v>1386.9</v>
      </c>
      <c r="N89" s="484">
        <f t="shared" si="29"/>
        <v>841.80000000000007</v>
      </c>
      <c r="O89" s="484">
        <f t="shared" si="29"/>
        <v>21</v>
      </c>
      <c r="P89" s="484">
        <f t="shared" si="29"/>
        <v>1786.1000000000001</v>
      </c>
      <c r="Q89" s="484">
        <f t="shared" si="29"/>
        <v>1952.3000000000002</v>
      </c>
      <c r="R89" s="851" t="s">
        <v>23</v>
      </c>
      <c r="S89" s="852" t="s">
        <v>23</v>
      </c>
      <c r="T89" s="853" t="s">
        <v>23</v>
      </c>
      <c r="U89" s="854" t="s">
        <v>23</v>
      </c>
      <c r="V89" s="398"/>
    </row>
    <row r="90" spans="1:31" ht="13.5" customHeight="1" x14ac:dyDescent="0.2">
      <c r="A90" s="855"/>
      <c r="B90" s="855"/>
      <c r="C90" s="856"/>
      <c r="D90" s="856"/>
      <c r="E90" s="856"/>
      <c r="F90" s="856"/>
      <c r="G90" s="856"/>
      <c r="H90" s="857"/>
      <c r="I90" s="857"/>
      <c r="J90" s="857"/>
      <c r="K90" s="857"/>
      <c r="L90" s="857"/>
      <c r="M90" s="857"/>
      <c r="N90" s="857"/>
      <c r="O90" s="857"/>
      <c r="P90" s="857"/>
      <c r="Q90" s="857"/>
      <c r="R90" s="858"/>
      <c r="S90" s="859"/>
      <c r="T90" s="859"/>
      <c r="U90" s="859"/>
      <c r="V90" s="398"/>
    </row>
    <row r="91" spans="1:31" ht="13.5" customHeight="1" x14ac:dyDescent="0.2">
      <c r="A91" s="855"/>
      <c r="B91" s="855"/>
      <c r="C91" s="856"/>
      <c r="D91" s="856"/>
      <c r="E91" s="856"/>
      <c r="F91" s="856"/>
      <c r="G91" s="856"/>
      <c r="H91" s="857"/>
      <c r="I91" s="857"/>
      <c r="J91" s="857"/>
      <c r="K91" s="857"/>
      <c r="L91" s="857"/>
      <c r="M91" s="857"/>
      <c r="N91" s="857"/>
      <c r="O91" s="857"/>
      <c r="P91" s="857"/>
      <c r="Q91" s="857"/>
      <c r="R91" s="858"/>
      <c r="S91" s="859"/>
      <c r="T91" s="859"/>
      <c r="U91" s="859"/>
      <c r="V91" s="398"/>
    </row>
    <row r="92" spans="1:31" ht="13.5" customHeight="1" x14ac:dyDescent="0.2">
      <c r="A92" s="398"/>
      <c r="B92" s="398"/>
      <c r="C92" s="398"/>
      <c r="D92" s="860"/>
      <c r="E92" s="398"/>
      <c r="F92" s="861"/>
      <c r="G92" s="398"/>
      <c r="H92" s="861"/>
      <c r="I92" s="861"/>
      <c r="J92" s="861"/>
      <c r="K92" s="861"/>
      <c r="L92" s="861"/>
      <c r="M92" s="861"/>
      <c r="N92" s="861"/>
      <c r="O92" s="861"/>
      <c r="P92" s="861"/>
      <c r="Q92" s="861"/>
      <c r="R92" s="785"/>
      <c r="S92" s="398"/>
      <c r="T92" s="398"/>
      <c r="U92" s="398"/>
      <c r="V92" s="398"/>
    </row>
    <row r="93" spans="1:31" s="862" customFormat="1" x14ac:dyDescent="0.2">
      <c r="A93" s="399"/>
      <c r="B93" s="399"/>
      <c r="C93" s="399"/>
      <c r="D93" s="741"/>
      <c r="E93" s="399"/>
      <c r="F93" s="754"/>
      <c r="G93" s="399"/>
      <c r="H93" s="754"/>
      <c r="I93" s="754"/>
      <c r="J93" s="754"/>
      <c r="K93" s="754"/>
      <c r="L93" s="754"/>
      <c r="M93" s="754"/>
      <c r="N93" s="754"/>
      <c r="O93" s="754"/>
      <c r="P93" s="754"/>
      <c r="Q93" s="754"/>
      <c r="R93" s="399"/>
      <c r="S93" s="399"/>
      <c r="T93" s="399"/>
      <c r="U93" s="399"/>
    </row>
    <row r="94" spans="1:31" x14ac:dyDescent="0.2">
      <c r="F94" s="754"/>
      <c r="H94" s="754"/>
      <c r="I94" s="754"/>
      <c r="J94" s="754"/>
      <c r="K94" s="754"/>
      <c r="L94" s="754"/>
      <c r="M94" s="754"/>
      <c r="N94" s="754"/>
      <c r="O94" s="754"/>
      <c r="P94" s="754"/>
      <c r="Q94" s="754"/>
      <c r="V94" s="398"/>
      <c r="W94" s="398"/>
      <c r="X94" s="398"/>
      <c r="Y94" s="398"/>
      <c r="Z94" s="398"/>
      <c r="AA94" s="398"/>
      <c r="AB94" s="398"/>
      <c r="AC94" s="398"/>
      <c r="AD94" s="398"/>
      <c r="AE94" s="398"/>
    </row>
    <row r="95" spans="1:31" s="229" customFormat="1" ht="27" customHeight="1" x14ac:dyDescent="0.2">
      <c r="A95" s="399"/>
      <c r="B95" s="741" t="s">
        <v>585</v>
      </c>
      <c r="C95" s="741"/>
      <c r="D95" s="741"/>
      <c r="E95" s="741"/>
      <c r="F95" s="741"/>
      <c r="G95" s="741"/>
      <c r="H95" s="754"/>
      <c r="I95" s="754"/>
      <c r="J95" s="754"/>
      <c r="K95" s="754"/>
      <c r="L95" s="754"/>
      <c r="M95" s="754"/>
      <c r="N95" s="754"/>
      <c r="O95" s="754"/>
      <c r="P95" s="754"/>
      <c r="Q95" s="754"/>
      <c r="R95" s="399"/>
      <c r="S95" s="399"/>
      <c r="T95" s="399"/>
      <c r="U95" s="399"/>
    </row>
    <row r="96" spans="1:31" s="229" customFormat="1" ht="13.5" customHeight="1" x14ac:dyDescent="0.2">
      <c r="A96" s="399"/>
      <c r="B96" s="399"/>
      <c r="C96" s="399"/>
      <c r="D96" s="741"/>
      <c r="E96" s="399"/>
      <c r="F96" s="754"/>
      <c r="G96" s="399"/>
      <c r="H96" s="754"/>
      <c r="I96" s="754"/>
      <c r="J96" s="754"/>
      <c r="K96" s="754"/>
      <c r="L96" s="754"/>
      <c r="M96" s="754"/>
      <c r="N96" s="754"/>
      <c r="O96" s="754"/>
      <c r="P96" s="754"/>
      <c r="Q96" s="754"/>
      <c r="R96" s="399"/>
      <c r="S96" s="399"/>
      <c r="T96" s="399"/>
      <c r="U96" s="399"/>
    </row>
    <row r="97" spans="1:21" s="229" customFormat="1" ht="11.25" customHeight="1" x14ac:dyDescent="0.2">
      <c r="A97" s="399"/>
      <c r="B97" s="399"/>
      <c r="C97" s="399"/>
      <c r="D97" s="741"/>
      <c r="E97" s="399"/>
      <c r="F97" s="754"/>
      <c r="G97" s="399"/>
      <c r="H97" s="754"/>
      <c r="I97" s="754"/>
      <c r="J97" s="754"/>
      <c r="K97" s="754"/>
      <c r="L97" s="754"/>
      <c r="M97" s="754"/>
      <c r="N97" s="754"/>
      <c r="O97" s="754"/>
      <c r="P97" s="754"/>
      <c r="Q97" s="754"/>
      <c r="R97" s="399"/>
      <c r="S97" s="399"/>
      <c r="T97" s="399"/>
      <c r="U97" s="399"/>
    </row>
    <row r="98" spans="1:21" x14ac:dyDescent="0.2">
      <c r="F98" s="754"/>
      <c r="H98" s="754"/>
      <c r="I98" s="754"/>
      <c r="J98" s="754"/>
      <c r="K98" s="754"/>
      <c r="L98" s="754"/>
      <c r="M98" s="754"/>
      <c r="N98" s="754"/>
      <c r="O98" s="754"/>
      <c r="P98" s="754"/>
      <c r="Q98" s="754"/>
    </row>
    <row r="99" spans="1:21" x14ac:dyDescent="0.2">
      <c r="F99" s="754"/>
      <c r="H99" s="754"/>
      <c r="I99" s="754"/>
      <c r="J99" s="754"/>
      <c r="K99" s="754"/>
      <c r="L99" s="754"/>
      <c r="M99" s="754"/>
      <c r="N99" s="754"/>
      <c r="O99" s="754"/>
      <c r="P99" s="754"/>
      <c r="Q99" s="754"/>
    </row>
    <row r="100" spans="1:21" x14ac:dyDescent="0.2">
      <c r="F100" s="754"/>
      <c r="H100" s="754"/>
      <c r="I100" s="754"/>
      <c r="J100" s="754"/>
      <c r="K100" s="754"/>
      <c r="L100" s="754"/>
      <c r="M100" s="754"/>
      <c r="N100" s="754"/>
      <c r="O100" s="754"/>
      <c r="P100" s="754"/>
      <c r="Q100" s="754"/>
    </row>
    <row r="101" spans="1:21" x14ac:dyDescent="0.2">
      <c r="F101" s="754"/>
      <c r="H101" s="754"/>
      <c r="I101" s="754"/>
      <c r="J101" s="754"/>
      <c r="K101" s="754"/>
      <c r="L101" s="754"/>
      <c r="M101" s="754"/>
      <c r="N101" s="754"/>
      <c r="O101" s="754"/>
      <c r="P101" s="754"/>
      <c r="Q101" s="754"/>
    </row>
  </sheetData>
  <mergeCells count="267">
    <mergeCell ref="U29:U32"/>
    <mergeCell ref="C15:C18"/>
    <mergeCell ref="D15:D18"/>
    <mergeCell ref="E15:E18"/>
    <mergeCell ref="R1:U1"/>
    <mergeCell ref="A2:U2"/>
    <mergeCell ref="A3:U3"/>
    <mergeCell ref="A4:U4"/>
    <mergeCell ref="A5:U5"/>
    <mergeCell ref="A6:U6"/>
    <mergeCell ref="A7:U7"/>
    <mergeCell ref="A8:A10"/>
    <mergeCell ref="B8:B10"/>
    <mergeCell ref="C8:C10"/>
    <mergeCell ref="D8:D10"/>
    <mergeCell ref="E8:E10"/>
    <mergeCell ref="F8:F10"/>
    <mergeCell ref="G8:G10"/>
    <mergeCell ref="H8:K8"/>
    <mergeCell ref="L8:O8"/>
    <mergeCell ref="U9:U10"/>
    <mergeCell ref="P8:P10"/>
    <mergeCell ref="Q8:Q10"/>
    <mergeCell ref="R8:U8"/>
    <mergeCell ref="H9:H10"/>
    <mergeCell ref="M9:N9"/>
    <mergeCell ref="O9:O10"/>
    <mergeCell ref="R9:R10"/>
    <mergeCell ref="F15:F18"/>
    <mergeCell ref="R15:R18"/>
    <mergeCell ref="S15:S17"/>
    <mergeCell ref="T15:T17"/>
    <mergeCell ref="U15:U18"/>
    <mergeCell ref="I9:J9"/>
    <mergeCell ref="K9:K10"/>
    <mergeCell ref="L9:L10"/>
    <mergeCell ref="A19:A21"/>
    <mergeCell ref="B19:B21"/>
    <mergeCell ref="C19:C21"/>
    <mergeCell ref="D19:D21"/>
    <mergeCell ref="E19:E21"/>
    <mergeCell ref="F19:F21"/>
    <mergeCell ref="R19:R21"/>
    <mergeCell ref="S19:S20"/>
    <mergeCell ref="T19:T20"/>
    <mergeCell ref="U19:U20"/>
    <mergeCell ref="A11:U11"/>
    <mergeCell ref="A12:U12"/>
    <mergeCell ref="B13:U13"/>
    <mergeCell ref="C14:U14"/>
    <mergeCell ref="A15:A18"/>
    <mergeCell ref="B15:B18"/>
    <mergeCell ref="U22:U23"/>
    <mergeCell ref="A25:A28"/>
    <mergeCell ref="B25:B28"/>
    <mergeCell ref="C25:C28"/>
    <mergeCell ref="D25:D28"/>
    <mergeCell ref="E25:E28"/>
    <mergeCell ref="F25:F28"/>
    <mergeCell ref="R25:R28"/>
    <mergeCell ref="S25:S27"/>
    <mergeCell ref="T25:T27"/>
    <mergeCell ref="U25:U28"/>
    <mergeCell ref="A22:A24"/>
    <mergeCell ref="B22:B24"/>
    <mergeCell ref="C22:C24"/>
    <mergeCell ref="D22:D24"/>
    <mergeCell ref="E22:E24"/>
    <mergeCell ref="F22:F24"/>
    <mergeCell ref="R22:R24"/>
    <mergeCell ref="S22:S23"/>
    <mergeCell ref="T22:T23"/>
    <mergeCell ref="A29:A32"/>
    <mergeCell ref="B29:B32"/>
    <mergeCell ref="C29:C32"/>
    <mergeCell ref="D29:D32"/>
    <mergeCell ref="E29:E32"/>
    <mergeCell ref="F29:F32"/>
    <mergeCell ref="R29:R32"/>
    <mergeCell ref="S29:S31"/>
    <mergeCell ref="T29:T31"/>
    <mergeCell ref="U33:U34"/>
    <mergeCell ref="A36:A38"/>
    <mergeCell ref="B36:B38"/>
    <mergeCell ref="C36:C38"/>
    <mergeCell ref="D36:D38"/>
    <mergeCell ref="E36:E38"/>
    <mergeCell ref="F36:F38"/>
    <mergeCell ref="R36:R38"/>
    <mergeCell ref="S36:S37"/>
    <mergeCell ref="T36:T37"/>
    <mergeCell ref="U36:U37"/>
    <mergeCell ref="A33:A35"/>
    <mergeCell ref="B33:B35"/>
    <mergeCell ref="C33:C35"/>
    <mergeCell ref="D33:D35"/>
    <mergeCell ref="E33:E35"/>
    <mergeCell ref="F33:F35"/>
    <mergeCell ref="R33:R35"/>
    <mergeCell ref="S33:S34"/>
    <mergeCell ref="T33:T34"/>
    <mergeCell ref="A39:A40"/>
    <mergeCell ref="B39:B40"/>
    <mergeCell ref="C39:C40"/>
    <mergeCell ref="D39:D40"/>
    <mergeCell ref="E39:E40"/>
    <mergeCell ref="F39:F40"/>
    <mergeCell ref="R39:R40"/>
    <mergeCell ref="U39:U40"/>
    <mergeCell ref="A41:A42"/>
    <mergeCell ref="B41:B42"/>
    <mergeCell ref="C41:C42"/>
    <mergeCell ref="D41:D42"/>
    <mergeCell ref="E41:E42"/>
    <mergeCell ref="F41:F42"/>
    <mergeCell ref="R41:R42"/>
    <mergeCell ref="U41:U42"/>
    <mergeCell ref="A43:A44"/>
    <mergeCell ref="B43:B44"/>
    <mergeCell ref="C43:C44"/>
    <mergeCell ref="D43:D44"/>
    <mergeCell ref="E43:E44"/>
    <mergeCell ref="F43:F44"/>
    <mergeCell ref="R43:R44"/>
    <mergeCell ref="U43:U44"/>
    <mergeCell ref="R45:R46"/>
    <mergeCell ref="U45:U46"/>
    <mergeCell ref="A47:A48"/>
    <mergeCell ref="B47:B48"/>
    <mergeCell ref="C47:C48"/>
    <mergeCell ref="D47:D48"/>
    <mergeCell ref="E47:E48"/>
    <mergeCell ref="F47:F48"/>
    <mergeCell ref="R47:R48"/>
    <mergeCell ref="A45:A46"/>
    <mergeCell ref="B45:B46"/>
    <mergeCell ref="C45:C46"/>
    <mergeCell ref="D45:D46"/>
    <mergeCell ref="E45:E46"/>
    <mergeCell ref="F45:F46"/>
    <mergeCell ref="R49:R50"/>
    <mergeCell ref="C51:G51"/>
    <mergeCell ref="C52:U52"/>
    <mergeCell ref="A53:A56"/>
    <mergeCell ref="B53:B56"/>
    <mergeCell ref="C53:C56"/>
    <mergeCell ref="D53:D56"/>
    <mergeCell ref="E53:E56"/>
    <mergeCell ref="F53:F56"/>
    <mergeCell ref="R53:R56"/>
    <mergeCell ref="A49:A50"/>
    <mergeCell ref="B49:B50"/>
    <mergeCell ref="C49:C50"/>
    <mergeCell ref="D49:D50"/>
    <mergeCell ref="E49:E50"/>
    <mergeCell ref="F49:F50"/>
    <mergeCell ref="S53:S55"/>
    <mergeCell ref="T53:T55"/>
    <mergeCell ref="U53:U56"/>
    <mergeCell ref="A57:A58"/>
    <mergeCell ref="B57:B58"/>
    <mergeCell ref="C57:C58"/>
    <mergeCell ref="D57:D58"/>
    <mergeCell ref="E57:E58"/>
    <mergeCell ref="F57:F58"/>
    <mergeCell ref="R57:R58"/>
    <mergeCell ref="U57:U58"/>
    <mergeCell ref="C59:G59"/>
    <mergeCell ref="C60:U60"/>
    <mergeCell ref="A61:A62"/>
    <mergeCell ref="B61:B62"/>
    <mergeCell ref="C61:C62"/>
    <mergeCell ref="D61:D62"/>
    <mergeCell ref="E61:E62"/>
    <mergeCell ref="F61:F62"/>
    <mergeCell ref="R61:R62"/>
    <mergeCell ref="U61:U62"/>
    <mergeCell ref="A63:A64"/>
    <mergeCell ref="B63:B64"/>
    <mergeCell ref="C63:C64"/>
    <mergeCell ref="D63:D64"/>
    <mergeCell ref="E63:E64"/>
    <mergeCell ref="F63:F64"/>
    <mergeCell ref="R63:R64"/>
    <mergeCell ref="U63:U64"/>
    <mergeCell ref="R65:R66"/>
    <mergeCell ref="U65:U66"/>
    <mergeCell ref="A67:A68"/>
    <mergeCell ref="B67:B68"/>
    <mergeCell ref="C67:C68"/>
    <mergeCell ref="D67:D68"/>
    <mergeCell ref="E67:E68"/>
    <mergeCell ref="F67:F68"/>
    <mergeCell ref="R67:R68"/>
    <mergeCell ref="U67:U68"/>
    <mergeCell ref="A65:A66"/>
    <mergeCell ref="B65:B66"/>
    <mergeCell ref="C65:C66"/>
    <mergeCell ref="D65:D66"/>
    <mergeCell ref="E65:E66"/>
    <mergeCell ref="F65:F66"/>
    <mergeCell ref="R69:R70"/>
    <mergeCell ref="A71:A72"/>
    <mergeCell ref="B71:B72"/>
    <mergeCell ref="C71:C72"/>
    <mergeCell ref="D71:D72"/>
    <mergeCell ref="E71:E72"/>
    <mergeCell ref="F71:F72"/>
    <mergeCell ref="R71:R72"/>
    <mergeCell ref="A69:A70"/>
    <mergeCell ref="B69:B70"/>
    <mergeCell ref="C69:C70"/>
    <mergeCell ref="D69:D70"/>
    <mergeCell ref="E69:E70"/>
    <mergeCell ref="F69:F70"/>
    <mergeCell ref="R73:R74"/>
    <mergeCell ref="A75:A76"/>
    <mergeCell ref="B75:B76"/>
    <mergeCell ref="C75:C76"/>
    <mergeCell ref="D75:D76"/>
    <mergeCell ref="E75:E76"/>
    <mergeCell ref="F75:F76"/>
    <mergeCell ref="R75:R76"/>
    <mergeCell ref="A73:A74"/>
    <mergeCell ref="B73:B74"/>
    <mergeCell ref="C73:C74"/>
    <mergeCell ref="D73:D74"/>
    <mergeCell ref="E73:E74"/>
    <mergeCell ref="F73:F74"/>
    <mergeCell ref="R77:R78"/>
    <mergeCell ref="A79:A80"/>
    <mergeCell ref="B79:B80"/>
    <mergeCell ref="C79:C80"/>
    <mergeCell ref="D79:D80"/>
    <mergeCell ref="E79:E80"/>
    <mergeCell ref="F79:F80"/>
    <mergeCell ref="R79:R80"/>
    <mergeCell ref="A77:A78"/>
    <mergeCell ref="B77:B78"/>
    <mergeCell ref="C77:C78"/>
    <mergeCell ref="D77:D78"/>
    <mergeCell ref="E77:E78"/>
    <mergeCell ref="F77:F78"/>
    <mergeCell ref="R85:R86"/>
    <mergeCell ref="C87:G87"/>
    <mergeCell ref="B88:G88"/>
    <mergeCell ref="A89:G89"/>
    <mergeCell ref="A85:A86"/>
    <mergeCell ref="B85:B86"/>
    <mergeCell ref="C85:C86"/>
    <mergeCell ref="D85:D86"/>
    <mergeCell ref="E85:E86"/>
    <mergeCell ref="F85:F86"/>
    <mergeCell ref="A83:A84"/>
    <mergeCell ref="B83:B84"/>
    <mergeCell ref="C83:C84"/>
    <mergeCell ref="D83:D84"/>
    <mergeCell ref="E83:E84"/>
    <mergeCell ref="F83:F84"/>
    <mergeCell ref="R83:R84"/>
    <mergeCell ref="A81:A82"/>
    <mergeCell ref="B81:B82"/>
    <mergeCell ref="C81:C82"/>
    <mergeCell ref="D81:D82"/>
    <mergeCell ref="E81:E82"/>
    <mergeCell ref="F81:F82"/>
    <mergeCell ref="R81:R82"/>
  </mergeCells>
  <conditionalFormatting sqref="R9:R10 A3:U3">
    <cfRule type="cellIs" dxfId="85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1" firstPageNumber="8" orientation="landscape" useFirstPageNumber="1" r:id="rId1"/>
  <headerFooter>
    <oddHeader>&amp;C&amp;P</oddHead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9"/>
  <sheetViews>
    <sheetView topLeftCell="A14" zoomScaleNormal="100" workbookViewId="0">
      <selection activeCell="D14" sqref="D14:D21"/>
    </sheetView>
  </sheetViews>
  <sheetFormatPr defaultRowHeight="11.25" x14ac:dyDescent="0.2"/>
  <cols>
    <col min="1" max="2" width="3.7109375" style="2" customWidth="1"/>
    <col min="3" max="3" width="4.85546875" style="2" customWidth="1"/>
    <col min="4" max="4" width="17.85546875" style="93" customWidth="1"/>
    <col min="5" max="5" width="9.85546875" style="2" customWidth="1"/>
    <col min="6" max="6" width="5.42578125" style="2" customWidth="1"/>
    <col min="7" max="7" width="11.42578125" style="2" customWidth="1"/>
    <col min="8" max="8" width="16.85546875" style="2" customWidth="1"/>
    <col min="9" max="9" width="11.5703125" style="2" customWidth="1"/>
    <col min="10" max="10" width="9" style="2" customWidth="1"/>
    <col min="11" max="11" width="11.7109375" style="2" customWidth="1"/>
    <col min="12" max="12" width="12.5703125" style="2" customWidth="1"/>
    <col min="13" max="13" width="10" style="2" customWidth="1"/>
    <col min="14" max="14" width="11.5703125" style="2" customWidth="1"/>
    <col min="15" max="15" width="10.85546875" style="2" customWidth="1"/>
    <col min="16" max="16" width="10" style="2" customWidth="1"/>
    <col min="17" max="17" width="8.42578125" style="2" customWidth="1"/>
    <col min="18" max="18" width="17.28515625" style="2" customWidth="1"/>
    <col min="19" max="19" width="6.28515625" style="2" customWidth="1"/>
    <col min="20" max="20" width="5.42578125" style="2" customWidth="1"/>
    <col min="21" max="21" width="22.140625" style="2" customWidth="1"/>
    <col min="22" max="22" width="10" style="210" bestFit="1" customWidth="1"/>
    <col min="23" max="23" width="9.140625" style="210"/>
    <col min="24" max="24" width="10" style="2" bestFit="1" customWidth="1"/>
    <col min="25" max="16384" width="9.140625" style="2"/>
  </cols>
  <sheetData>
    <row r="1" spans="1:23" ht="13.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820"/>
      <c r="R1" s="1821"/>
      <c r="S1" s="1821"/>
      <c r="T1" s="1821"/>
      <c r="U1" s="1821"/>
      <c r="V1" s="1"/>
      <c r="W1" s="1"/>
    </row>
    <row r="2" spans="1:23" s="4" customFormat="1" ht="13.5" customHeight="1" x14ac:dyDescent="0.2">
      <c r="A2" s="1822"/>
      <c r="B2" s="1822"/>
      <c r="C2" s="1822"/>
      <c r="D2" s="1822"/>
      <c r="E2" s="1822"/>
      <c r="F2" s="1822"/>
      <c r="G2" s="1822"/>
      <c r="H2" s="1822"/>
      <c r="I2" s="1822"/>
      <c r="J2" s="1822"/>
      <c r="K2" s="1822"/>
      <c r="L2" s="1822"/>
      <c r="M2" s="1822"/>
      <c r="N2" s="1822"/>
      <c r="O2" s="1822"/>
      <c r="P2" s="1822"/>
      <c r="Q2" s="1822"/>
      <c r="R2" s="1822"/>
      <c r="S2" s="1822"/>
      <c r="T2" s="1822"/>
      <c r="U2" s="1822"/>
      <c r="V2" s="3"/>
      <c r="W2" s="3"/>
    </row>
    <row r="3" spans="1:23" s="6" customFormat="1" ht="13.5" customHeight="1" x14ac:dyDescent="0.2">
      <c r="A3" s="1823"/>
      <c r="B3" s="1823"/>
      <c r="C3" s="1823"/>
      <c r="D3" s="1823"/>
      <c r="E3" s="1823"/>
      <c r="F3" s="1823"/>
      <c r="G3" s="1823"/>
      <c r="H3" s="1823"/>
      <c r="I3" s="1823"/>
      <c r="J3" s="1823"/>
      <c r="K3" s="1823"/>
      <c r="L3" s="1823"/>
      <c r="M3" s="1823"/>
      <c r="N3" s="1823"/>
      <c r="O3" s="1823"/>
      <c r="P3" s="1823"/>
      <c r="Q3" s="1823"/>
      <c r="R3" s="1823"/>
      <c r="S3" s="1823"/>
      <c r="T3" s="1823"/>
      <c r="U3" s="1823"/>
      <c r="V3" s="5"/>
      <c r="W3" s="5"/>
    </row>
    <row r="4" spans="1:23" s="4" customFormat="1" ht="13.5" customHeight="1" x14ac:dyDescent="0.2">
      <c r="A4" s="1822" t="s">
        <v>191</v>
      </c>
      <c r="B4" s="1822"/>
      <c r="C4" s="1822"/>
      <c r="D4" s="1822"/>
      <c r="E4" s="1822"/>
      <c r="F4" s="1822"/>
      <c r="G4" s="1822"/>
      <c r="H4" s="1822"/>
      <c r="I4" s="1822"/>
      <c r="J4" s="1822"/>
      <c r="K4" s="1822"/>
      <c r="L4" s="1822"/>
      <c r="M4" s="1822"/>
      <c r="N4" s="1822"/>
      <c r="O4" s="1822"/>
      <c r="P4" s="1822"/>
      <c r="Q4" s="1822"/>
      <c r="R4" s="1822"/>
      <c r="S4" s="1822"/>
      <c r="T4" s="1822"/>
      <c r="U4" s="1822"/>
      <c r="V4" s="3"/>
      <c r="W4" s="3"/>
    </row>
    <row r="5" spans="1:23" ht="13.5" customHeight="1" x14ac:dyDescent="0.2">
      <c r="A5" s="1824" t="s">
        <v>192</v>
      </c>
      <c r="B5" s="1824"/>
      <c r="C5" s="1824"/>
      <c r="D5" s="1824"/>
      <c r="E5" s="1824"/>
      <c r="F5" s="1824"/>
      <c r="G5" s="1824"/>
      <c r="H5" s="1824"/>
      <c r="I5" s="1824"/>
      <c r="J5" s="1824"/>
      <c r="K5" s="1824"/>
      <c r="L5" s="1824"/>
      <c r="M5" s="1824"/>
      <c r="N5" s="1824"/>
      <c r="O5" s="1824"/>
      <c r="P5" s="1824"/>
      <c r="Q5" s="1824"/>
      <c r="R5" s="1824"/>
      <c r="S5" s="1824"/>
      <c r="T5" s="1824"/>
      <c r="U5" s="1824"/>
      <c r="V5" s="1"/>
      <c r="W5" s="1"/>
    </row>
    <row r="6" spans="1:23" ht="13.5" customHeight="1" thickBot="1" x14ac:dyDescent="0.25">
      <c r="A6" s="1825" t="s">
        <v>144</v>
      </c>
      <c r="B6" s="1825"/>
      <c r="C6" s="1825"/>
      <c r="D6" s="1825"/>
      <c r="E6" s="1825"/>
      <c r="F6" s="1825"/>
      <c r="G6" s="1825"/>
      <c r="H6" s="1825"/>
      <c r="I6" s="1825"/>
      <c r="J6" s="1825"/>
      <c r="K6" s="1825"/>
      <c r="L6" s="1825"/>
      <c r="M6" s="1825"/>
      <c r="N6" s="1825"/>
      <c r="O6" s="1825"/>
      <c r="P6" s="1825"/>
      <c r="Q6" s="1825"/>
      <c r="R6" s="1825"/>
      <c r="S6" s="1825"/>
      <c r="T6" s="1825"/>
      <c r="U6" s="1825"/>
      <c r="V6" s="1"/>
      <c r="W6" s="1"/>
    </row>
    <row r="7" spans="1:23" ht="24.75" customHeight="1" thickBot="1" x14ac:dyDescent="0.25">
      <c r="A7" s="1813" t="s">
        <v>0</v>
      </c>
      <c r="B7" s="1814" t="s">
        <v>1</v>
      </c>
      <c r="C7" s="1814" t="s">
        <v>2</v>
      </c>
      <c r="D7" s="1817" t="s">
        <v>3</v>
      </c>
      <c r="E7" s="1814" t="s">
        <v>4</v>
      </c>
      <c r="F7" s="1814" t="s">
        <v>5</v>
      </c>
      <c r="G7" s="1802" t="s">
        <v>6</v>
      </c>
      <c r="H7" s="1236" t="s">
        <v>193</v>
      </c>
      <c r="I7" s="1237"/>
      <c r="J7" s="1237"/>
      <c r="K7" s="1238"/>
      <c r="L7" s="1236" t="s">
        <v>200</v>
      </c>
      <c r="M7" s="1237"/>
      <c r="N7" s="1237"/>
      <c r="O7" s="1238"/>
      <c r="P7" s="1805" t="s">
        <v>173</v>
      </c>
      <c r="Q7" s="1805" t="s">
        <v>174</v>
      </c>
      <c r="R7" s="1808" t="s">
        <v>7</v>
      </c>
      <c r="S7" s="1237"/>
      <c r="T7" s="1237"/>
      <c r="U7" s="1238"/>
    </row>
    <row r="8" spans="1:23" ht="19.5" customHeight="1" x14ac:dyDescent="0.2">
      <c r="A8" s="1809"/>
      <c r="B8" s="1815"/>
      <c r="C8" s="1815"/>
      <c r="D8" s="1818"/>
      <c r="E8" s="1815"/>
      <c r="F8" s="1815"/>
      <c r="G8" s="1803"/>
      <c r="H8" s="1809" t="s">
        <v>8</v>
      </c>
      <c r="I8" s="1795" t="s">
        <v>9</v>
      </c>
      <c r="J8" s="1795"/>
      <c r="K8" s="1811" t="s">
        <v>10</v>
      </c>
      <c r="L8" s="1809" t="s">
        <v>8</v>
      </c>
      <c r="M8" s="1795" t="s">
        <v>9</v>
      </c>
      <c r="N8" s="1795"/>
      <c r="O8" s="1811" t="s">
        <v>10</v>
      </c>
      <c r="P8" s="1806"/>
      <c r="Q8" s="1806"/>
      <c r="R8" s="1826" t="s">
        <v>24</v>
      </c>
      <c r="S8" s="194" t="s">
        <v>11</v>
      </c>
      <c r="T8" s="194" t="s">
        <v>194</v>
      </c>
      <c r="U8" s="1828" t="s">
        <v>196</v>
      </c>
    </row>
    <row r="9" spans="1:23" ht="92.25" customHeight="1" thickBot="1" x14ac:dyDescent="0.25">
      <c r="A9" s="1810"/>
      <c r="B9" s="1816"/>
      <c r="C9" s="1816"/>
      <c r="D9" s="1819"/>
      <c r="E9" s="1816"/>
      <c r="F9" s="1816"/>
      <c r="G9" s="1804"/>
      <c r="H9" s="1810"/>
      <c r="I9" s="737" t="s">
        <v>8</v>
      </c>
      <c r="J9" s="7" t="s">
        <v>12</v>
      </c>
      <c r="K9" s="1812"/>
      <c r="L9" s="1810"/>
      <c r="M9" s="737" t="s">
        <v>8</v>
      </c>
      <c r="N9" s="7" t="s">
        <v>12</v>
      </c>
      <c r="O9" s="1812"/>
      <c r="P9" s="1807"/>
      <c r="Q9" s="1807"/>
      <c r="R9" s="1827"/>
      <c r="S9" s="8" t="s">
        <v>195</v>
      </c>
      <c r="T9" s="8" t="s">
        <v>195</v>
      </c>
      <c r="U9" s="1829"/>
    </row>
    <row r="10" spans="1:23" ht="15" customHeight="1" thickBot="1" x14ac:dyDescent="0.25">
      <c r="A10" s="1796" t="s">
        <v>27</v>
      </c>
      <c r="B10" s="1797"/>
      <c r="C10" s="1797"/>
      <c r="D10" s="1797"/>
      <c r="E10" s="1797"/>
      <c r="F10" s="1797"/>
      <c r="G10" s="1797"/>
      <c r="H10" s="1797"/>
      <c r="I10" s="1797"/>
      <c r="J10" s="1797"/>
      <c r="K10" s="1797"/>
      <c r="L10" s="1797"/>
      <c r="M10" s="1797"/>
      <c r="N10" s="1797"/>
      <c r="O10" s="1797"/>
      <c r="P10" s="1797"/>
      <c r="Q10" s="1797"/>
      <c r="R10" s="1797"/>
      <c r="S10" s="1797"/>
      <c r="T10" s="1797"/>
      <c r="U10" s="1798"/>
    </row>
    <row r="11" spans="1:23" ht="15" customHeight="1" thickBot="1" x14ac:dyDescent="0.25">
      <c r="A11" s="1799" t="s">
        <v>26</v>
      </c>
      <c r="B11" s="1800"/>
      <c r="C11" s="1800"/>
      <c r="D11" s="1800"/>
      <c r="E11" s="1800"/>
      <c r="F11" s="1800"/>
      <c r="G11" s="1800"/>
      <c r="H11" s="1800"/>
      <c r="I11" s="1800"/>
      <c r="J11" s="1800"/>
      <c r="K11" s="1800"/>
      <c r="L11" s="1800"/>
      <c r="M11" s="1800"/>
      <c r="N11" s="1800"/>
      <c r="O11" s="1800"/>
      <c r="P11" s="1800"/>
      <c r="Q11" s="1800"/>
      <c r="R11" s="1800"/>
      <c r="S11" s="1800"/>
      <c r="T11" s="1800"/>
      <c r="U11" s="1801"/>
    </row>
    <row r="12" spans="1:23" ht="15" customHeight="1" thickBot="1" x14ac:dyDescent="0.25">
      <c r="A12" s="9" t="s">
        <v>17</v>
      </c>
      <c r="B12" s="1785" t="s">
        <v>28</v>
      </c>
      <c r="C12" s="1785"/>
      <c r="D12" s="1785"/>
      <c r="E12" s="1785"/>
      <c r="F12" s="1785"/>
      <c r="G12" s="1785"/>
      <c r="H12" s="1785"/>
      <c r="I12" s="1785"/>
      <c r="J12" s="1785"/>
      <c r="K12" s="1785"/>
      <c r="L12" s="1785"/>
      <c r="M12" s="1785"/>
      <c r="N12" s="1785"/>
      <c r="O12" s="1785"/>
      <c r="P12" s="1785"/>
      <c r="Q12" s="1785"/>
      <c r="R12" s="1785"/>
      <c r="S12" s="1785"/>
      <c r="T12" s="1785"/>
      <c r="U12" s="1786"/>
    </row>
    <row r="13" spans="1:23" ht="15" customHeight="1" thickBot="1" x14ac:dyDescent="0.25">
      <c r="A13" s="104" t="s">
        <v>17</v>
      </c>
      <c r="B13" s="105" t="s">
        <v>17</v>
      </c>
      <c r="C13" s="1787" t="s">
        <v>29</v>
      </c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7"/>
      <c r="U13" s="1788"/>
    </row>
    <row r="14" spans="1:23" ht="14.85" customHeight="1" x14ac:dyDescent="0.2">
      <c r="A14" s="1707" t="s">
        <v>17</v>
      </c>
      <c r="B14" s="1708" t="s">
        <v>17</v>
      </c>
      <c r="C14" s="1709" t="s">
        <v>17</v>
      </c>
      <c r="D14" s="1789" t="s">
        <v>182</v>
      </c>
      <c r="E14" s="1791" t="s">
        <v>76</v>
      </c>
      <c r="F14" s="1792">
        <v>1</v>
      </c>
      <c r="G14" s="47" t="s">
        <v>30</v>
      </c>
      <c r="H14" s="11"/>
      <c r="I14" s="738"/>
      <c r="J14" s="738"/>
      <c r="K14" s="740"/>
      <c r="L14" s="109"/>
      <c r="M14" s="738"/>
      <c r="N14" s="738"/>
      <c r="O14" s="47"/>
      <c r="P14" s="12"/>
      <c r="Q14" s="12"/>
      <c r="R14" s="1793" t="s">
        <v>198</v>
      </c>
      <c r="S14" s="1713">
        <v>9</v>
      </c>
      <c r="T14" s="1794">
        <v>11</v>
      </c>
      <c r="U14" s="1783" t="s">
        <v>197</v>
      </c>
    </row>
    <row r="15" spans="1:23" ht="14.85" customHeight="1" x14ac:dyDescent="0.2">
      <c r="A15" s="1634"/>
      <c r="B15" s="1635"/>
      <c r="C15" s="1699"/>
      <c r="D15" s="1790"/>
      <c r="E15" s="1778"/>
      <c r="F15" s="1773"/>
      <c r="G15" s="13" t="s">
        <v>73</v>
      </c>
      <c r="H15" s="191"/>
      <c r="I15" s="734"/>
      <c r="J15" s="734"/>
      <c r="K15" s="735"/>
      <c r="L15" s="49"/>
      <c r="M15" s="734"/>
      <c r="N15" s="734"/>
      <c r="O15" s="23"/>
      <c r="P15" s="14"/>
      <c r="Q15" s="14"/>
      <c r="R15" s="1781"/>
      <c r="S15" s="1687"/>
      <c r="T15" s="1795"/>
      <c r="U15" s="1784"/>
    </row>
    <row r="16" spans="1:23" ht="14.85" customHeight="1" x14ac:dyDescent="0.2">
      <c r="A16" s="1634"/>
      <c r="B16" s="1635"/>
      <c r="C16" s="1699"/>
      <c r="D16" s="1790"/>
      <c r="E16" s="1778"/>
      <c r="F16" s="1773"/>
      <c r="G16" s="15" t="s">
        <v>59</v>
      </c>
      <c r="H16" s="16">
        <f t="shared" ref="H16:K16" si="0">+H17+H18</f>
        <v>0</v>
      </c>
      <c r="I16" s="17">
        <f t="shared" si="0"/>
        <v>0</v>
      </c>
      <c r="J16" s="17">
        <f t="shared" si="0"/>
        <v>0</v>
      </c>
      <c r="K16" s="19">
        <f t="shared" si="0"/>
        <v>0</v>
      </c>
      <c r="L16" s="151">
        <v>15</v>
      </c>
      <c r="M16" s="152"/>
      <c r="N16" s="152"/>
      <c r="O16" s="153">
        <v>15</v>
      </c>
      <c r="P16" s="154">
        <f t="shared" ref="P16:Q16" si="1">+P17+P18</f>
        <v>18.899999999999999</v>
      </c>
      <c r="Q16" s="154">
        <f t="shared" si="1"/>
        <v>18.899999999999999</v>
      </c>
      <c r="R16" s="1781"/>
      <c r="S16" s="1687"/>
      <c r="T16" s="1795"/>
      <c r="U16" s="1784"/>
    </row>
    <row r="17" spans="1:23" ht="14.85" customHeight="1" x14ac:dyDescent="0.2">
      <c r="A17" s="1634"/>
      <c r="B17" s="1635"/>
      <c r="C17" s="1699"/>
      <c r="D17" s="1790"/>
      <c r="E17" s="1778"/>
      <c r="F17" s="1773"/>
      <c r="G17" s="101" t="s">
        <v>130</v>
      </c>
      <c r="H17" s="141"/>
      <c r="I17" s="142"/>
      <c r="J17" s="142"/>
      <c r="K17" s="143"/>
      <c r="L17" s="155"/>
      <c r="M17" s="142"/>
      <c r="N17" s="142"/>
      <c r="O17" s="156"/>
      <c r="P17" s="157">
        <f t="shared" ref="P17:Q17" si="2">ROUND(18911/1000,1)</f>
        <v>18.899999999999999</v>
      </c>
      <c r="Q17" s="157">
        <f t="shared" si="2"/>
        <v>18.899999999999999</v>
      </c>
      <c r="R17" s="1781"/>
      <c r="S17" s="1687"/>
      <c r="T17" s="1795"/>
      <c r="U17" s="1784"/>
    </row>
    <row r="18" spans="1:23" ht="14.85" customHeight="1" x14ac:dyDescent="0.2">
      <c r="A18" s="1634"/>
      <c r="B18" s="1635"/>
      <c r="C18" s="1699"/>
      <c r="D18" s="1790"/>
      <c r="E18" s="1778"/>
      <c r="F18" s="1773"/>
      <c r="G18" s="101" t="s">
        <v>71</v>
      </c>
      <c r="H18" s="123"/>
      <c r="I18" s="124"/>
      <c r="J18" s="124"/>
      <c r="K18" s="125"/>
      <c r="L18" s="126"/>
      <c r="M18" s="124"/>
      <c r="N18" s="124"/>
      <c r="O18" s="122"/>
      <c r="P18" s="127"/>
      <c r="Q18" s="127"/>
      <c r="R18" s="1781"/>
      <c r="S18" s="1687"/>
      <c r="T18" s="1795"/>
      <c r="U18" s="1784"/>
    </row>
    <row r="19" spans="1:23" ht="14.85" customHeight="1" x14ac:dyDescent="0.2">
      <c r="A19" s="1634"/>
      <c r="B19" s="1635"/>
      <c r="C19" s="1699"/>
      <c r="D19" s="1790"/>
      <c r="E19" s="1778"/>
      <c r="F19" s="1773"/>
      <c r="G19" s="13" t="s">
        <v>36</v>
      </c>
      <c r="H19" s="191"/>
      <c r="I19" s="734"/>
      <c r="J19" s="734"/>
      <c r="K19" s="735"/>
      <c r="L19" s="49"/>
      <c r="M19" s="734"/>
      <c r="N19" s="734"/>
      <c r="O19" s="23"/>
      <c r="P19" s="14"/>
      <c r="Q19" s="14"/>
      <c r="R19" s="1781"/>
      <c r="S19" s="1687"/>
      <c r="T19" s="1795"/>
      <c r="U19" s="1784"/>
    </row>
    <row r="20" spans="1:23" ht="14.85" customHeight="1" x14ac:dyDescent="0.2">
      <c r="A20" s="1634"/>
      <c r="B20" s="1635"/>
      <c r="C20" s="1699"/>
      <c r="D20" s="1790"/>
      <c r="E20" s="1778"/>
      <c r="F20" s="1773"/>
      <c r="G20" s="13" t="s">
        <v>72</v>
      </c>
      <c r="H20" s="191"/>
      <c r="I20" s="734"/>
      <c r="J20" s="734"/>
      <c r="K20" s="735"/>
      <c r="L20" s="49"/>
      <c r="M20" s="734"/>
      <c r="N20" s="734"/>
      <c r="O20" s="23"/>
      <c r="P20" s="14"/>
      <c r="Q20" s="14"/>
      <c r="R20" s="1781"/>
      <c r="S20" s="1687"/>
      <c r="T20" s="1795"/>
      <c r="U20" s="1784"/>
    </row>
    <row r="21" spans="1:23" s="4" customFormat="1" ht="14.85" customHeight="1" thickBot="1" x14ac:dyDescent="0.25">
      <c r="A21" s="1634"/>
      <c r="B21" s="1635"/>
      <c r="C21" s="1699"/>
      <c r="D21" s="1790"/>
      <c r="E21" s="1778"/>
      <c r="F21" s="1773"/>
      <c r="G21" s="24" t="s">
        <v>13</v>
      </c>
      <c r="H21" s="28">
        <f>+H14+H15+H16+H19+H20</f>
        <v>0</v>
      </c>
      <c r="I21" s="26">
        <f t="shared" ref="I21:Q21" si="3">+I14+I15+I16+I19+I20</f>
        <v>0</v>
      </c>
      <c r="J21" s="26">
        <f t="shared" si="3"/>
        <v>0</v>
      </c>
      <c r="K21" s="31">
        <f t="shared" si="3"/>
        <v>0</v>
      </c>
      <c r="L21" s="27">
        <f t="shared" si="3"/>
        <v>15</v>
      </c>
      <c r="M21" s="26">
        <f t="shared" si="3"/>
        <v>0</v>
      </c>
      <c r="N21" s="26">
        <f t="shared" si="3"/>
        <v>0</v>
      </c>
      <c r="O21" s="30">
        <f t="shared" si="3"/>
        <v>15</v>
      </c>
      <c r="P21" s="32">
        <f t="shared" si="3"/>
        <v>18.899999999999999</v>
      </c>
      <c r="Q21" s="32">
        <f t="shared" si="3"/>
        <v>18.899999999999999</v>
      </c>
      <c r="R21" s="1781"/>
      <c r="S21" s="26">
        <f>SUM(S14)</f>
        <v>9</v>
      </c>
      <c r="T21" s="26">
        <f>SUM(T14)</f>
        <v>11</v>
      </c>
      <c r="U21" s="31"/>
      <c r="V21" s="33"/>
      <c r="W21" s="33"/>
    </row>
    <row r="22" spans="1:23" s="35" customFormat="1" ht="14.85" customHeight="1" x14ac:dyDescent="0.2">
      <c r="A22" s="1634" t="s">
        <v>17</v>
      </c>
      <c r="B22" s="1635" t="s">
        <v>17</v>
      </c>
      <c r="C22" s="1636">
        <v>2</v>
      </c>
      <c r="D22" s="1701" t="s">
        <v>44</v>
      </c>
      <c r="E22" s="1778" t="s">
        <v>76</v>
      </c>
      <c r="F22" s="1773">
        <v>1</v>
      </c>
      <c r="G22" s="23" t="s">
        <v>30</v>
      </c>
      <c r="H22" s="191"/>
      <c r="I22" s="215"/>
      <c r="J22" s="215"/>
      <c r="K22" s="216"/>
      <c r="L22" s="49"/>
      <c r="M22" s="215"/>
      <c r="N22" s="215"/>
      <c r="O22" s="23"/>
      <c r="P22" s="14"/>
      <c r="Q22" s="14"/>
      <c r="R22" s="1781" t="s">
        <v>50</v>
      </c>
      <c r="S22" s="1687">
        <v>18</v>
      </c>
      <c r="T22" s="1687">
        <v>19</v>
      </c>
      <c r="U22" s="1783" t="s">
        <v>199</v>
      </c>
      <c r="V22" s="34"/>
      <c r="W22" s="34"/>
    </row>
    <row r="23" spans="1:23" s="35" customFormat="1" ht="14.85" customHeight="1" x14ac:dyDescent="0.2">
      <c r="A23" s="1634"/>
      <c r="B23" s="1635"/>
      <c r="C23" s="1636"/>
      <c r="D23" s="1701"/>
      <c r="E23" s="1778"/>
      <c r="F23" s="1773"/>
      <c r="G23" s="13" t="s">
        <v>73</v>
      </c>
      <c r="H23" s="191"/>
      <c r="I23" s="215"/>
      <c r="J23" s="215"/>
      <c r="K23" s="216"/>
      <c r="L23" s="49"/>
      <c r="M23" s="215"/>
      <c r="N23" s="215"/>
      <c r="O23" s="23"/>
      <c r="P23" s="14"/>
      <c r="Q23" s="14"/>
      <c r="R23" s="1781"/>
      <c r="S23" s="1687"/>
      <c r="T23" s="1687"/>
      <c r="U23" s="1784"/>
      <c r="V23" s="34"/>
      <c r="W23" s="34"/>
    </row>
    <row r="24" spans="1:23" s="35" customFormat="1" ht="14.85" customHeight="1" x14ac:dyDescent="0.2">
      <c r="A24" s="1634"/>
      <c r="B24" s="1635"/>
      <c r="C24" s="1636"/>
      <c r="D24" s="1701"/>
      <c r="E24" s="1778"/>
      <c r="F24" s="1773"/>
      <c r="G24" s="15" t="s">
        <v>59</v>
      </c>
      <c r="H24" s="16">
        <f>+H25+H26</f>
        <v>43.8</v>
      </c>
      <c r="I24" s="17">
        <f t="shared" ref="I24:K24" si="4">+I25+I26</f>
        <v>0</v>
      </c>
      <c r="J24" s="17">
        <f t="shared" si="4"/>
        <v>0</v>
      </c>
      <c r="K24" s="19">
        <f t="shared" si="4"/>
        <v>43.8</v>
      </c>
      <c r="L24" s="50">
        <f>+L25+L26</f>
        <v>43.8</v>
      </c>
      <c r="M24" s="17">
        <f>+M25+M26</f>
        <v>0</v>
      </c>
      <c r="N24" s="17">
        <f>+N25+N26</f>
        <v>0</v>
      </c>
      <c r="O24" s="18">
        <f>+O25+O26</f>
        <v>43.8</v>
      </c>
      <c r="P24" s="20"/>
      <c r="Q24" s="20"/>
      <c r="R24" s="1781"/>
      <c r="S24" s="1687"/>
      <c r="T24" s="1687"/>
      <c r="U24" s="1784"/>
      <c r="V24" s="34"/>
      <c r="W24" s="34"/>
    </row>
    <row r="25" spans="1:23" s="35" customFormat="1" ht="14.85" customHeight="1" x14ac:dyDescent="0.2">
      <c r="A25" s="1634"/>
      <c r="B25" s="1635"/>
      <c r="C25" s="1636"/>
      <c r="D25" s="1701"/>
      <c r="E25" s="1778"/>
      <c r="F25" s="1773"/>
      <c r="G25" s="101" t="s">
        <v>130</v>
      </c>
      <c r="H25" s="123"/>
      <c r="I25" s="124"/>
      <c r="J25" s="124"/>
      <c r="K25" s="125"/>
      <c r="L25" s="126"/>
      <c r="M25" s="124"/>
      <c r="N25" s="124"/>
      <c r="O25" s="122"/>
      <c r="P25" s="127"/>
      <c r="Q25" s="127"/>
      <c r="R25" s="1781"/>
      <c r="S25" s="1687"/>
      <c r="T25" s="1687"/>
      <c r="U25" s="1784"/>
      <c r="V25" s="34"/>
      <c r="W25" s="34"/>
    </row>
    <row r="26" spans="1:23" s="35" customFormat="1" ht="14.85" customHeight="1" x14ac:dyDescent="0.2">
      <c r="A26" s="1634"/>
      <c r="B26" s="1635"/>
      <c r="C26" s="1636"/>
      <c r="D26" s="1701"/>
      <c r="E26" s="1778"/>
      <c r="F26" s="1773"/>
      <c r="G26" s="101" t="s">
        <v>71</v>
      </c>
      <c r="H26" s="141">
        <v>43.8</v>
      </c>
      <c r="I26" s="142"/>
      <c r="J26" s="142"/>
      <c r="K26" s="143">
        <v>43.8</v>
      </c>
      <c r="L26" s="155">
        <v>43.8</v>
      </c>
      <c r="M26" s="142"/>
      <c r="N26" s="142"/>
      <c r="O26" s="156">
        <v>43.8</v>
      </c>
      <c r="P26" s="127"/>
      <c r="Q26" s="127"/>
      <c r="R26" s="1781"/>
      <c r="S26" s="1687"/>
      <c r="T26" s="1687"/>
      <c r="U26" s="1784"/>
      <c r="V26" s="34"/>
      <c r="W26" s="34"/>
    </row>
    <row r="27" spans="1:23" s="35" customFormat="1" ht="14.85" customHeight="1" x14ac:dyDescent="0.2">
      <c r="A27" s="1634"/>
      <c r="B27" s="1635"/>
      <c r="C27" s="1636"/>
      <c r="D27" s="1701"/>
      <c r="E27" s="1778"/>
      <c r="F27" s="1773"/>
      <c r="G27" s="13" t="s">
        <v>36</v>
      </c>
      <c r="H27" s="191"/>
      <c r="I27" s="215"/>
      <c r="J27" s="215"/>
      <c r="K27" s="216"/>
      <c r="L27" s="49"/>
      <c r="M27" s="215"/>
      <c r="N27" s="215"/>
      <c r="O27" s="23"/>
      <c r="P27" s="14"/>
      <c r="Q27" s="14"/>
      <c r="R27" s="1781"/>
      <c r="S27" s="1687"/>
      <c r="T27" s="1687"/>
      <c r="U27" s="1784"/>
      <c r="V27" s="34"/>
      <c r="W27" s="34"/>
    </row>
    <row r="28" spans="1:23" s="35" customFormat="1" ht="14.85" customHeight="1" x14ac:dyDescent="0.2">
      <c r="A28" s="1634"/>
      <c r="B28" s="1635"/>
      <c r="C28" s="1636"/>
      <c r="D28" s="1701"/>
      <c r="E28" s="1778"/>
      <c r="F28" s="1773"/>
      <c r="G28" s="13" t="s">
        <v>72</v>
      </c>
      <c r="H28" s="191"/>
      <c r="I28" s="215"/>
      <c r="J28" s="215"/>
      <c r="K28" s="216"/>
      <c r="L28" s="49"/>
      <c r="M28" s="215"/>
      <c r="N28" s="215"/>
      <c r="O28" s="23"/>
      <c r="P28" s="14"/>
      <c r="Q28" s="14"/>
      <c r="R28" s="1781"/>
      <c r="S28" s="1687"/>
      <c r="T28" s="1687"/>
      <c r="U28" s="1784"/>
      <c r="V28" s="34"/>
      <c r="W28" s="34"/>
    </row>
    <row r="29" spans="1:23" s="4" customFormat="1" ht="14.85" customHeight="1" x14ac:dyDescent="0.2">
      <c r="A29" s="1634"/>
      <c r="B29" s="1635"/>
      <c r="C29" s="1636"/>
      <c r="D29" s="1701"/>
      <c r="E29" s="1778"/>
      <c r="F29" s="1773"/>
      <c r="G29" s="24" t="s">
        <v>13</v>
      </c>
      <c r="H29" s="28">
        <f>+H22+H23+H24+H27+H28</f>
        <v>43.8</v>
      </c>
      <c r="I29" s="26">
        <f t="shared" ref="I29:Q29" si="5">+I22+I23+I24+I27+I28</f>
        <v>0</v>
      </c>
      <c r="J29" s="26">
        <f t="shared" si="5"/>
        <v>0</v>
      </c>
      <c r="K29" s="31">
        <f t="shared" si="5"/>
        <v>43.8</v>
      </c>
      <c r="L29" s="27">
        <f t="shared" si="5"/>
        <v>43.8</v>
      </c>
      <c r="M29" s="26">
        <f t="shared" si="5"/>
        <v>0</v>
      </c>
      <c r="N29" s="26">
        <f t="shared" si="5"/>
        <v>0</v>
      </c>
      <c r="O29" s="30">
        <f t="shared" si="5"/>
        <v>43.8</v>
      </c>
      <c r="P29" s="32">
        <f t="shared" si="5"/>
        <v>0</v>
      </c>
      <c r="Q29" s="32">
        <f t="shared" si="5"/>
        <v>0</v>
      </c>
      <c r="R29" s="1781"/>
      <c r="S29" s="26">
        <f>SUM(S22)</f>
        <v>18</v>
      </c>
      <c r="T29" s="26">
        <f>SUM(T22)</f>
        <v>19</v>
      </c>
      <c r="U29" s="31"/>
      <c r="V29" s="33"/>
      <c r="W29" s="33"/>
    </row>
    <row r="30" spans="1:23" s="35" customFormat="1" ht="14.85" customHeight="1" x14ac:dyDescent="0.2">
      <c r="A30" s="1634" t="s">
        <v>17</v>
      </c>
      <c r="B30" s="1635" t="s">
        <v>17</v>
      </c>
      <c r="C30" s="1636">
        <v>3</v>
      </c>
      <c r="D30" s="1701" t="s">
        <v>62</v>
      </c>
      <c r="E30" s="1778" t="s">
        <v>56</v>
      </c>
      <c r="F30" s="1773">
        <v>1</v>
      </c>
      <c r="G30" s="23" t="s">
        <v>30</v>
      </c>
      <c r="H30" s="191"/>
      <c r="I30" s="215"/>
      <c r="J30" s="215"/>
      <c r="K30" s="216"/>
      <c r="L30" s="49"/>
      <c r="M30" s="215"/>
      <c r="N30" s="215"/>
      <c r="O30" s="23"/>
      <c r="P30" s="14"/>
      <c r="Q30" s="14"/>
      <c r="R30" s="1781" t="s">
        <v>63</v>
      </c>
      <c r="S30" s="1687">
        <v>100</v>
      </c>
      <c r="T30" s="1763">
        <v>96</v>
      </c>
      <c r="U30" s="1693" t="s">
        <v>587</v>
      </c>
      <c r="V30" s="34"/>
      <c r="W30" s="34"/>
    </row>
    <row r="31" spans="1:23" s="35" customFormat="1" ht="14.85" customHeight="1" x14ac:dyDescent="0.2">
      <c r="A31" s="1634"/>
      <c r="B31" s="1635"/>
      <c r="C31" s="1636"/>
      <c r="D31" s="1701"/>
      <c r="E31" s="1778"/>
      <c r="F31" s="1773"/>
      <c r="G31" s="13" t="s">
        <v>73</v>
      </c>
      <c r="H31" s="191"/>
      <c r="I31" s="215"/>
      <c r="J31" s="215"/>
      <c r="K31" s="216"/>
      <c r="L31" s="49"/>
      <c r="M31" s="215"/>
      <c r="N31" s="215"/>
      <c r="O31" s="23"/>
      <c r="P31" s="14"/>
      <c r="Q31" s="14"/>
      <c r="R31" s="1781"/>
      <c r="S31" s="1687"/>
      <c r="T31" s="1763"/>
      <c r="U31" s="1693"/>
      <c r="V31" s="34"/>
      <c r="W31" s="34"/>
    </row>
    <row r="32" spans="1:23" s="35" customFormat="1" ht="14.85" customHeight="1" x14ac:dyDescent="0.2">
      <c r="A32" s="1634"/>
      <c r="B32" s="1635"/>
      <c r="C32" s="1636"/>
      <c r="D32" s="1701"/>
      <c r="E32" s="1778"/>
      <c r="F32" s="1773"/>
      <c r="G32" s="15" t="s">
        <v>59</v>
      </c>
      <c r="H32" s="16">
        <f>+H33+H34</f>
        <v>58.5</v>
      </c>
      <c r="I32" s="17">
        <f t="shared" ref="I32:K32" si="6">+I33+I34</f>
        <v>13.9</v>
      </c>
      <c r="J32" s="17">
        <f t="shared" si="6"/>
        <v>0</v>
      </c>
      <c r="K32" s="19">
        <f t="shared" si="6"/>
        <v>44.6</v>
      </c>
      <c r="L32" s="50">
        <f>+L33+L34</f>
        <v>56.300000000000004</v>
      </c>
      <c r="M32" s="17">
        <f>+M33+M34</f>
        <v>1.1000000000000001</v>
      </c>
      <c r="N32" s="17">
        <f>+N33+N34</f>
        <v>0</v>
      </c>
      <c r="O32" s="18">
        <f>+O33+O34</f>
        <v>55.2</v>
      </c>
      <c r="P32" s="20"/>
      <c r="Q32" s="20"/>
      <c r="R32" s="1781"/>
      <c r="S32" s="1687"/>
      <c r="T32" s="1763"/>
      <c r="U32" s="1693"/>
      <c r="V32" s="34"/>
      <c r="W32" s="34"/>
    </row>
    <row r="33" spans="1:23" s="35" customFormat="1" ht="14.85" customHeight="1" x14ac:dyDescent="0.2">
      <c r="A33" s="1634"/>
      <c r="B33" s="1635"/>
      <c r="C33" s="1636"/>
      <c r="D33" s="1701"/>
      <c r="E33" s="1778"/>
      <c r="F33" s="1773"/>
      <c r="G33" s="101" t="s">
        <v>130</v>
      </c>
      <c r="H33" s="141">
        <f>+I33+K33</f>
        <v>58.5</v>
      </c>
      <c r="I33" s="142">
        <v>13.9</v>
      </c>
      <c r="J33" s="142"/>
      <c r="K33" s="143">
        <v>44.6</v>
      </c>
      <c r="L33" s="155">
        <f>+M33+O33</f>
        <v>56.300000000000004</v>
      </c>
      <c r="M33" s="142">
        <v>1.1000000000000001</v>
      </c>
      <c r="N33" s="142"/>
      <c r="O33" s="156">
        <v>55.2</v>
      </c>
      <c r="P33" s="127"/>
      <c r="Q33" s="127"/>
      <c r="R33" s="1781"/>
      <c r="S33" s="1687"/>
      <c r="T33" s="1763"/>
      <c r="U33" s="1693"/>
      <c r="V33" s="34"/>
      <c r="W33" s="34"/>
    </row>
    <row r="34" spans="1:23" s="35" customFormat="1" ht="14.85" customHeight="1" x14ac:dyDescent="0.2">
      <c r="A34" s="1634"/>
      <c r="B34" s="1635"/>
      <c r="C34" s="1636"/>
      <c r="D34" s="1701"/>
      <c r="E34" s="1778"/>
      <c r="F34" s="1773"/>
      <c r="G34" s="101" t="s">
        <v>71</v>
      </c>
      <c r="H34" s="123"/>
      <c r="I34" s="124"/>
      <c r="J34" s="124"/>
      <c r="K34" s="125"/>
      <c r="L34" s="126"/>
      <c r="M34" s="124"/>
      <c r="N34" s="124"/>
      <c r="O34" s="122"/>
      <c r="P34" s="127"/>
      <c r="Q34" s="127"/>
      <c r="R34" s="1781"/>
      <c r="S34" s="1687"/>
      <c r="T34" s="1763"/>
      <c r="U34" s="1693"/>
      <c r="V34" s="34"/>
      <c r="W34" s="34"/>
    </row>
    <row r="35" spans="1:23" s="35" customFormat="1" ht="14.85" customHeight="1" x14ac:dyDescent="0.2">
      <c r="A35" s="1634"/>
      <c r="B35" s="1635"/>
      <c r="C35" s="1636"/>
      <c r="D35" s="1701"/>
      <c r="E35" s="1778"/>
      <c r="F35" s="1773"/>
      <c r="G35" s="13" t="s">
        <v>36</v>
      </c>
      <c r="H35" s="191"/>
      <c r="I35" s="215"/>
      <c r="J35" s="215"/>
      <c r="K35" s="216"/>
      <c r="L35" s="49"/>
      <c r="M35" s="215"/>
      <c r="N35" s="215"/>
      <c r="O35" s="23"/>
      <c r="P35" s="14"/>
      <c r="Q35" s="14"/>
      <c r="R35" s="1781"/>
      <c r="S35" s="1687"/>
      <c r="T35" s="1763"/>
      <c r="U35" s="1693"/>
      <c r="V35" s="34"/>
      <c r="W35" s="34"/>
    </row>
    <row r="36" spans="1:23" s="35" customFormat="1" ht="14.85" customHeight="1" x14ac:dyDescent="0.2">
      <c r="A36" s="1634"/>
      <c r="B36" s="1635"/>
      <c r="C36" s="1636"/>
      <c r="D36" s="1701"/>
      <c r="E36" s="1778"/>
      <c r="F36" s="1773"/>
      <c r="G36" s="13" t="s">
        <v>72</v>
      </c>
      <c r="H36" s="191"/>
      <c r="I36" s="215"/>
      <c r="J36" s="215"/>
      <c r="K36" s="216"/>
      <c r="L36" s="49"/>
      <c r="M36" s="215"/>
      <c r="N36" s="215"/>
      <c r="O36" s="23"/>
      <c r="P36" s="14"/>
      <c r="Q36" s="14"/>
      <c r="R36" s="1781"/>
      <c r="S36" s="1687"/>
      <c r="T36" s="1763"/>
      <c r="U36" s="1693"/>
      <c r="V36" s="34"/>
      <c r="W36" s="34"/>
    </row>
    <row r="37" spans="1:23" s="4" customFormat="1" ht="14.85" customHeight="1" x14ac:dyDescent="0.2">
      <c r="A37" s="1634"/>
      <c r="B37" s="1635"/>
      <c r="C37" s="1636"/>
      <c r="D37" s="1701"/>
      <c r="E37" s="1778"/>
      <c r="F37" s="1773"/>
      <c r="G37" s="24" t="s">
        <v>13</v>
      </c>
      <c r="H37" s="28">
        <f>+H30+H31+H32+H35+H36</f>
        <v>58.5</v>
      </c>
      <c r="I37" s="26">
        <f t="shared" ref="I37:Q37" si="7">+I30+I31+I32+I35+I36</f>
        <v>13.9</v>
      </c>
      <c r="J37" s="26">
        <f t="shared" si="7"/>
        <v>0</v>
      </c>
      <c r="K37" s="31">
        <f t="shared" si="7"/>
        <v>44.6</v>
      </c>
      <c r="L37" s="27">
        <f t="shared" si="7"/>
        <v>56.300000000000004</v>
      </c>
      <c r="M37" s="26">
        <f t="shared" si="7"/>
        <v>1.1000000000000001</v>
      </c>
      <c r="N37" s="26">
        <f t="shared" si="7"/>
        <v>0</v>
      </c>
      <c r="O37" s="30">
        <f t="shared" si="7"/>
        <v>55.2</v>
      </c>
      <c r="P37" s="32">
        <f t="shared" si="7"/>
        <v>0</v>
      </c>
      <c r="Q37" s="32">
        <f t="shared" si="7"/>
        <v>0</v>
      </c>
      <c r="R37" s="1781"/>
      <c r="S37" s="26">
        <f>SUM(S30)</f>
        <v>100</v>
      </c>
      <c r="T37" s="26">
        <f>SUM(T30)</f>
        <v>96</v>
      </c>
      <c r="U37" s="31"/>
      <c r="V37" s="33"/>
      <c r="W37" s="33"/>
    </row>
    <row r="38" spans="1:23" s="35" customFormat="1" ht="14.85" customHeight="1" x14ac:dyDescent="0.2">
      <c r="A38" s="1634" t="s">
        <v>17</v>
      </c>
      <c r="B38" s="1635" t="s">
        <v>17</v>
      </c>
      <c r="C38" s="1636">
        <v>4</v>
      </c>
      <c r="D38" s="1701" t="s">
        <v>89</v>
      </c>
      <c r="E38" s="1778" t="s">
        <v>87</v>
      </c>
      <c r="F38" s="1773">
        <v>1</v>
      </c>
      <c r="G38" s="23" t="s">
        <v>30</v>
      </c>
      <c r="H38" s="191"/>
      <c r="I38" s="215"/>
      <c r="J38" s="215"/>
      <c r="K38" s="216"/>
      <c r="L38" s="49"/>
      <c r="M38" s="215"/>
      <c r="N38" s="215"/>
      <c r="O38" s="23"/>
      <c r="P38" s="14"/>
      <c r="Q38" s="14"/>
      <c r="R38" s="1781" t="s">
        <v>88</v>
      </c>
      <c r="S38" s="1687"/>
      <c r="T38" s="1687"/>
      <c r="U38" s="1693"/>
      <c r="V38" s="34"/>
      <c r="W38" s="34"/>
    </row>
    <row r="39" spans="1:23" s="35" customFormat="1" ht="14.85" customHeight="1" x14ac:dyDescent="0.2">
      <c r="A39" s="1634"/>
      <c r="B39" s="1635"/>
      <c r="C39" s="1636"/>
      <c r="D39" s="1701"/>
      <c r="E39" s="1778"/>
      <c r="F39" s="1773"/>
      <c r="G39" s="13" t="s">
        <v>73</v>
      </c>
      <c r="H39" s="191"/>
      <c r="I39" s="215"/>
      <c r="J39" s="215"/>
      <c r="K39" s="216"/>
      <c r="L39" s="49"/>
      <c r="M39" s="215"/>
      <c r="N39" s="215"/>
      <c r="O39" s="23"/>
      <c r="P39" s="14"/>
      <c r="Q39" s="14"/>
      <c r="R39" s="1781"/>
      <c r="S39" s="1687"/>
      <c r="T39" s="1687"/>
      <c r="U39" s="1693"/>
      <c r="V39" s="34"/>
      <c r="W39" s="34"/>
    </row>
    <row r="40" spans="1:23" s="35" customFormat="1" ht="14.85" customHeight="1" x14ac:dyDescent="0.2">
      <c r="A40" s="1634"/>
      <c r="B40" s="1635"/>
      <c r="C40" s="1636"/>
      <c r="D40" s="1701"/>
      <c r="E40" s="1778"/>
      <c r="F40" s="1773"/>
      <c r="G40" s="15" t="s">
        <v>59</v>
      </c>
      <c r="H40" s="16">
        <f>+H41+H42</f>
        <v>0</v>
      </c>
      <c r="I40" s="17">
        <f>+I41+I42</f>
        <v>0</v>
      </c>
      <c r="J40" s="17">
        <f>+J41+J42</f>
        <v>0</v>
      </c>
      <c r="K40" s="19">
        <f>+K41+K42</f>
        <v>0</v>
      </c>
      <c r="L40" s="50">
        <f>+L41+L42</f>
        <v>0</v>
      </c>
      <c r="M40" s="50">
        <f t="shared" ref="M40:O40" si="8">+M41+M42</f>
        <v>0</v>
      </c>
      <c r="N40" s="50">
        <f t="shared" si="8"/>
        <v>0</v>
      </c>
      <c r="O40" s="50">
        <f t="shared" si="8"/>
        <v>0</v>
      </c>
      <c r="P40" s="20"/>
      <c r="Q40" s="20"/>
      <c r="R40" s="1781"/>
      <c r="S40" s="1687"/>
      <c r="T40" s="1687"/>
      <c r="U40" s="1693"/>
      <c r="V40" s="34"/>
      <c r="W40" s="34"/>
    </row>
    <row r="41" spans="1:23" s="35" customFormat="1" ht="14.85" customHeight="1" x14ac:dyDescent="0.2">
      <c r="A41" s="1634"/>
      <c r="B41" s="1635"/>
      <c r="C41" s="1636"/>
      <c r="D41" s="1701"/>
      <c r="E41" s="1778"/>
      <c r="F41" s="1773"/>
      <c r="G41" s="101" t="s">
        <v>130</v>
      </c>
      <c r="H41" s="123"/>
      <c r="I41" s="124"/>
      <c r="J41" s="124"/>
      <c r="K41" s="125"/>
      <c r="L41" s="126"/>
      <c r="M41" s="124"/>
      <c r="N41" s="124"/>
      <c r="O41" s="122"/>
      <c r="P41" s="127"/>
      <c r="Q41" s="127"/>
      <c r="R41" s="1781"/>
      <c r="S41" s="1687"/>
      <c r="T41" s="1687"/>
      <c r="U41" s="1693"/>
      <c r="V41" s="34"/>
      <c r="W41" s="34"/>
    </row>
    <row r="42" spans="1:23" s="35" customFormat="1" ht="14.85" customHeight="1" x14ac:dyDescent="0.2">
      <c r="A42" s="1634"/>
      <c r="B42" s="1635"/>
      <c r="C42" s="1636"/>
      <c r="D42" s="1701"/>
      <c r="E42" s="1778"/>
      <c r="F42" s="1773"/>
      <c r="G42" s="101" t="s">
        <v>71</v>
      </c>
      <c r="H42" s="123"/>
      <c r="I42" s="124"/>
      <c r="J42" s="124"/>
      <c r="K42" s="125"/>
      <c r="L42" s="126"/>
      <c r="M42" s="124"/>
      <c r="N42" s="124"/>
      <c r="O42" s="122"/>
      <c r="P42" s="127"/>
      <c r="Q42" s="127"/>
      <c r="R42" s="1781"/>
      <c r="S42" s="1687"/>
      <c r="T42" s="1687"/>
      <c r="U42" s="1693"/>
      <c r="V42" s="34"/>
      <c r="W42" s="34"/>
    </row>
    <row r="43" spans="1:23" s="35" customFormat="1" ht="14.85" customHeight="1" x14ac:dyDescent="0.2">
      <c r="A43" s="1634"/>
      <c r="B43" s="1635"/>
      <c r="C43" s="1636"/>
      <c r="D43" s="1701"/>
      <c r="E43" s="1778"/>
      <c r="F43" s="1773"/>
      <c r="G43" s="13" t="s">
        <v>36</v>
      </c>
      <c r="H43" s="191"/>
      <c r="I43" s="215"/>
      <c r="J43" s="215"/>
      <c r="K43" s="216"/>
      <c r="L43" s="49"/>
      <c r="M43" s="215"/>
      <c r="N43" s="215"/>
      <c r="O43" s="23"/>
      <c r="P43" s="14"/>
      <c r="Q43" s="14"/>
      <c r="R43" s="1781"/>
      <c r="S43" s="1687"/>
      <c r="T43" s="1687"/>
      <c r="U43" s="1693"/>
      <c r="V43" s="34"/>
      <c r="W43" s="34"/>
    </row>
    <row r="44" spans="1:23" s="35" customFormat="1" ht="14.85" customHeight="1" x14ac:dyDescent="0.2">
      <c r="A44" s="1634"/>
      <c r="B44" s="1635"/>
      <c r="C44" s="1636"/>
      <c r="D44" s="1701"/>
      <c r="E44" s="1778"/>
      <c r="F44" s="1773"/>
      <c r="G44" s="13" t="s">
        <v>72</v>
      </c>
      <c r="H44" s="191"/>
      <c r="I44" s="215"/>
      <c r="J44" s="215"/>
      <c r="K44" s="216"/>
      <c r="L44" s="49"/>
      <c r="M44" s="215"/>
      <c r="N44" s="215"/>
      <c r="O44" s="23"/>
      <c r="P44" s="14"/>
      <c r="Q44" s="14"/>
      <c r="R44" s="1781"/>
      <c r="S44" s="1687"/>
      <c r="T44" s="1687"/>
      <c r="U44" s="1693"/>
      <c r="V44" s="34"/>
      <c r="W44" s="34"/>
    </row>
    <row r="45" spans="1:23" s="4" customFormat="1" ht="14.85" customHeight="1" thickBot="1" x14ac:dyDescent="0.25">
      <c r="A45" s="1634"/>
      <c r="B45" s="1635"/>
      <c r="C45" s="1636"/>
      <c r="D45" s="1701"/>
      <c r="E45" s="1778"/>
      <c r="F45" s="1773"/>
      <c r="G45" s="24" t="s">
        <v>13</v>
      </c>
      <c r="H45" s="28">
        <f>+H38+H39+H40+H43+H44</f>
        <v>0</v>
      </c>
      <c r="I45" s="26">
        <f t="shared" ref="I45:Q45" si="9">+I38+I39+I40+I43+I44</f>
        <v>0</v>
      </c>
      <c r="J45" s="26">
        <f t="shared" si="9"/>
        <v>0</v>
      </c>
      <c r="K45" s="31">
        <f t="shared" si="9"/>
        <v>0</v>
      </c>
      <c r="L45" s="27">
        <f t="shared" si="9"/>
        <v>0</v>
      </c>
      <c r="M45" s="26">
        <f t="shared" si="9"/>
        <v>0</v>
      </c>
      <c r="N45" s="26">
        <f t="shared" si="9"/>
        <v>0</v>
      </c>
      <c r="O45" s="30">
        <f t="shared" si="9"/>
        <v>0</v>
      </c>
      <c r="P45" s="32">
        <f t="shared" si="9"/>
        <v>0</v>
      </c>
      <c r="Q45" s="32">
        <f t="shared" si="9"/>
        <v>0</v>
      </c>
      <c r="R45" s="1781"/>
      <c r="S45" s="26">
        <f>SUM(S38)</f>
        <v>0</v>
      </c>
      <c r="T45" s="26">
        <f>SUM(T38)</f>
        <v>0</v>
      </c>
      <c r="U45" s="31"/>
      <c r="V45" s="33"/>
      <c r="W45" s="33"/>
    </row>
    <row r="46" spans="1:23" s="35" customFormat="1" ht="14.85" customHeight="1" x14ac:dyDescent="0.2">
      <c r="A46" s="1634" t="s">
        <v>17</v>
      </c>
      <c r="B46" s="1635" t="s">
        <v>17</v>
      </c>
      <c r="C46" s="1636">
        <v>5</v>
      </c>
      <c r="D46" s="1694" t="s">
        <v>171</v>
      </c>
      <c r="E46" s="1778" t="s">
        <v>175</v>
      </c>
      <c r="F46" s="1773">
        <v>1</v>
      </c>
      <c r="G46" s="23" t="s">
        <v>30</v>
      </c>
      <c r="H46" s="191"/>
      <c r="I46" s="215"/>
      <c r="J46" s="215"/>
      <c r="K46" s="216"/>
      <c r="L46" s="49"/>
      <c r="M46" s="215"/>
      <c r="N46" s="215"/>
      <c r="O46" s="23"/>
      <c r="P46" s="14"/>
      <c r="Q46" s="14"/>
      <c r="R46" s="1781" t="s">
        <v>88</v>
      </c>
      <c r="S46" s="1687">
        <v>100</v>
      </c>
      <c r="T46" s="1733">
        <v>92</v>
      </c>
      <c r="U46" s="1783" t="s">
        <v>586</v>
      </c>
      <c r="V46" s="34"/>
      <c r="W46" s="34"/>
    </row>
    <row r="47" spans="1:23" s="35" customFormat="1" ht="14.85" customHeight="1" x14ac:dyDescent="0.2">
      <c r="A47" s="1634"/>
      <c r="B47" s="1635"/>
      <c r="C47" s="1636"/>
      <c r="D47" s="1694"/>
      <c r="E47" s="1778"/>
      <c r="F47" s="1773"/>
      <c r="G47" s="13" t="s">
        <v>73</v>
      </c>
      <c r="H47" s="191"/>
      <c r="I47" s="215"/>
      <c r="J47" s="215"/>
      <c r="K47" s="216"/>
      <c r="L47" s="49"/>
      <c r="M47" s="215"/>
      <c r="N47" s="215"/>
      <c r="O47" s="23"/>
      <c r="P47" s="14"/>
      <c r="Q47" s="14"/>
      <c r="R47" s="1781"/>
      <c r="S47" s="1687"/>
      <c r="T47" s="1733"/>
      <c r="U47" s="1784"/>
      <c r="V47" s="34"/>
      <c r="W47" s="34"/>
    </row>
    <row r="48" spans="1:23" s="35" customFormat="1" ht="14.85" customHeight="1" x14ac:dyDescent="0.2">
      <c r="A48" s="1634"/>
      <c r="B48" s="1635"/>
      <c r="C48" s="1636"/>
      <c r="D48" s="1694"/>
      <c r="E48" s="1778"/>
      <c r="F48" s="1773"/>
      <c r="G48" s="15" t="s">
        <v>59</v>
      </c>
      <c r="H48" s="16">
        <f>+H49+H50</f>
        <v>98.8</v>
      </c>
      <c r="I48" s="17">
        <f>+I49+I50</f>
        <v>0</v>
      </c>
      <c r="J48" s="17">
        <f>+J49+J50</f>
        <v>0</v>
      </c>
      <c r="K48" s="19">
        <f>+K49+K50</f>
        <v>98.8</v>
      </c>
      <c r="L48" s="50">
        <f>+L49+L50</f>
        <v>90.5</v>
      </c>
      <c r="M48" s="50">
        <f t="shared" ref="M48:Q48" si="10">+M49+M50</f>
        <v>0</v>
      </c>
      <c r="N48" s="50">
        <f t="shared" si="10"/>
        <v>0</v>
      </c>
      <c r="O48" s="50">
        <f t="shared" si="10"/>
        <v>90.5</v>
      </c>
      <c r="P48" s="50">
        <f t="shared" si="10"/>
        <v>79.099999999999994</v>
      </c>
      <c r="Q48" s="50">
        <f t="shared" si="10"/>
        <v>71.900000000000006</v>
      </c>
      <c r="R48" s="1781"/>
      <c r="S48" s="1687"/>
      <c r="T48" s="1733"/>
      <c r="U48" s="1784"/>
      <c r="V48" s="34"/>
      <c r="W48" s="34"/>
    </row>
    <row r="49" spans="1:23" s="35" customFormat="1" ht="14.85" customHeight="1" x14ac:dyDescent="0.2">
      <c r="A49" s="1634"/>
      <c r="B49" s="1635"/>
      <c r="C49" s="1636"/>
      <c r="D49" s="1694"/>
      <c r="E49" s="1778"/>
      <c r="F49" s="1773"/>
      <c r="G49" s="101" t="s">
        <v>130</v>
      </c>
      <c r="H49" s="191">
        <v>98.8</v>
      </c>
      <c r="I49" s="215"/>
      <c r="J49" s="215"/>
      <c r="K49" s="216">
        <v>98.8</v>
      </c>
      <c r="L49" s="155">
        <v>90.5</v>
      </c>
      <c r="M49" s="142"/>
      <c r="N49" s="142"/>
      <c r="O49" s="156">
        <v>90.5</v>
      </c>
      <c r="P49" s="157">
        <v>79.099999999999994</v>
      </c>
      <c r="Q49" s="157">
        <v>71.900000000000006</v>
      </c>
      <c r="R49" s="1781"/>
      <c r="S49" s="1687"/>
      <c r="T49" s="1733"/>
      <c r="U49" s="1784"/>
      <c r="V49" s="34"/>
      <c r="W49" s="34"/>
    </row>
    <row r="50" spans="1:23" s="35" customFormat="1" ht="14.85" customHeight="1" x14ac:dyDescent="0.2">
      <c r="A50" s="1634"/>
      <c r="B50" s="1635"/>
      <c r="C50" s="1636"/>
      <c r="D50" s="1694"/>
      <c r="E50" s="1778"/>
      <c r="F50" s="1773"/>
      <c r="G50" s="101" t="s">
        <v>71</v>
      </c>
      <c r="H50" s="195"/>
      <c r="I50" s="196"/>
      <c r="J50" s="196"/>
      <c r="K50" s="197"/>
      <c r="L50" s="126"/>
      <c r="M50" s="124"/>
      <c r="N50" s="124"/>
      <c r="O50" s="122"/>
      <c r="P50" s="127"/>
      <c r="Q50" s="127"/>
      <c r="R50" s="1781"/>
      <c r="S50" s="1687"/>
      <c r="T50" s="1733"/>
      <c r="U50" s="1784"/>
      <c r="V50" s="34"/>
      <c r="W50" s="34"/>
    </row>
    <row r="51" spans="1:23" s="35" customFormat="1" ht="14.85" customHeight="1" x14ac:dyDescent="0.2">
      <c r="A51" s="1634"/>
      <c r="B51" s="1635"/>
      <c r="C51" s="1636"/>
      <c r="D51" s="1694"/>
      <c r="E51" s="1778"/>
      <c r="F51" s="1773"/>
      <c r="G51" s="13" t="s">
        <v>36</v>
      </c>
      <c r="H51" s="191"/>
      <c r="I51" s="215"/>
      <c r="J51" s="215"/>
      <c r="K51" s="216"/>
      <c r="L51" s="49"/>
      <c r="M51" s="215"/>
      <c r="N51" s="215"/>
      <c r="O51" s="23"/>
      <c r="P51" s="14"/>
      <c r="Q51" s="14"/>
      <c r="R51" s="1781"/>
      <c r="S51" s="1687"/>
      <c r="T51" s="1733"/>
      <c r="U51" s="1784"/>
      <c r="V51" s="34"/>
      <c r="W51" s="34"/>
    </row>
    <row r="52" spans="1:23" s="35" customFormat="1" ht="14.85" customHeight="1" x14ac:dyDescent="0.2">
      <c r="A52" s="1634"/>
      <c r="B52" s="1635"/>
      <c r="C52" s="1636"/>
      <c r="D52" s="1694"/>
      <c r="E52" s="1778"/>
      <c r="F52" s="1773"/>
      <c r="G52" s="13" t="s">
        <v>72</v>
      </c>
      <c r="H52" s="191"/>
      <c r="I52" s="215"/>
      <c r="J52" s="215"/>
      <c r="K52" s="216"/>
      <c r="L52" s="49"/>
      <c r="M52" s="215"/>
      <c r="N52" s="215"/>
      <c r="O52" s="23"/>
      <c r="P52" s="14"/>
      <c r="Q52" s="14"/>
      <c r="R52" s="1781"/>
      <c r="S52" s="1687"/>
      <c r="T52" s="1733"/>
      <c r="U52" s="1784"/>
      <c r="V52" s="34"/>
      <c r="W52" s="34"/>
    </row>
    <row r="53" spans="1:23" s="4" customFormat="1" ht="14.85" customHeight="1" thickBot="1" x14ac:dyDescent="0.25">
      <c r="A53" s="1774"/>
      <c r="B53" s="1775"/>
      <c r="C53" s="1776"/>
      <c r="D53" s="1777"/>
      <c r="E53" s="1779"/>
      <c r="F53" s="1780"/>
      <c r="G53" s="108" t="s">
        <v>13</v>
      </c>
      <c r="H53" s="114">
        <f>+H46+H47+H48+H51+H52</f>
        <v>98.8</v>
      </c>
      <c r="I53" s="106">
        <f t="shared" ref="I53:Q53" si="11">+I46+I47+I48+I51+I52</f>
        <v>0</v>
      </c>
      <c r="J53" s="106">
        <f t="shared" si="11"/>
        <v>0</v>
      </c>
      <c r="K53" s="107">
        <f t="shared" si="11"/>
        <v>98.8</v>
      </c>
      <c r="L53" s="111">
        <f t="shared" si="11"/>
        <v>90.5</v>
      </c>
      <c r="M53" s="106">
        <f t="shared" si="11"/>
        <v>0</v>
      </c>
      <c r="N53" s="106">
        <f t="shared" si="11"/>
        <v>0</v>
      </c>
      <c r="O53" s="115">
        <f t="shared" si="11"/>
        <v>90.5</v>
      </c>
      <c r="P53" s="44">
        <f t="shared" si="11"/>
        <v>79.099999999999994</v>
      </c>
      <c r="Q53" s="44">
        <f t="shared" si="11"/>
        <v>71.900000000000006</v>
      </c>
      <c r="R53" s="1782"/>
      <c r="S53" s="106">
        <f>SUM(S46)</f>
        <v>100</v>
      </c>
      <c r="T53" s="106">
        <f>SUM(T46)</f>
        <v>92</v>
      </c>
      <c r="U53" s="107"/>
      <c r="V53" s="33"/>
      <c r="W53" s="33"/>
    </row>
    <row r="54" spans="1:23" s="4" customFormat="1" ht="14.25" customHeight="1" thickBot="1" x14ac:dyDescent="0.25">
      <c r="A54" s="212" t="s">
        <v>17</v>
      </c>
      <c r="B54" s="214" t="s">
        <v>17</v>
      </c>
      <c r="C54" s="1608" t="s">
        <v>14</v>
      </c>
      <c r="D54" s="1767"/>
      <c r="E54" s="1767"/>
      <c r="F54" s="1767"/>
      <c r="G54" s="1768"/>
      <c r="H54" s="66">
        <f>+H21+H29+H37+H45+H53</f>
        <v>201.1</v>
      </c>
      <c r="I54" s="214">
        <f t="shared" ref="I54:Q54" si="12">+I21+I29+I37+I45+I53</f>
        <v>13.9</v>
      </c>
      <c r="J54" s="214">
        <f t="shared" si="12"/>
        <v>0</v>
      </c>
      <c r="K54" s="68">
        <f t="shared" si="12"/>
        <v>187.2</v>
      </c>
      <c r="L54" s="112">
        <f>+L21+L29+L37+L45+L53</f>
        <v>205.6</v>
      </c>
      <c r="M54" s="214">
        <f t="shared" si="12"/>
        <v>1.1000000000000001</v>
      </c>
      <c r="N54" s="214">
        <f t="shared" si="12"/>
        <v>0</v>
      </c>
      <c r="O54" s="217">
        <f t="shared" si="12"/>
        <v>204.5</v>
      </c>
      <c r="P54" s="116">
        <f t="shared" si="12"/>
        <v>98</v>
      </c>
      <c r="Q54" s="116">
        <f t="shared" si="12"/>
        <v>90.800000000000011</v>
      </c>
      <c r="R54" s="67" t="s">
        <v>23</v>
      </c>
      <c r="S54" s="66" t="s">
        <v>23</v>
      </c>
      <c r="T54" s="214" t="s">
        <v>23</v>
      </c>
      <c r="U54" s="68" t="s">
        <v>23</v>
      </c>
      <c r="V54" s="33"/>
      <c r="W54" s="33"/>
    </row>
    <row r="55" spans="1:23" ht="15" customHeight="1" thickBot="1" x14ac:dyDescent="0.25">
      <c r="A55" s="212" t="s">
        <v>17</v>
      </c>
      <c r="B55" s="214" t="s">
        <v>18</v>
      </c>
      <c r="C55" s="1769" t="s">
        <v>67</v>
      </c>
      <c r="D55" s="1769"/>
      <c r="E55" s="1769"/>
      <c r="F55" s="1769"/>
      <c r="G55" s="1769"/>
      <c r="H55" s="1769"/>
      <c r="I55" s="1769"/>
      <c r="J55" s="1769"/>
      <c r="K55" s="1769"/>
      <c r="L55" s="1770"/>
      <c r="M55" s="1770"/>
      <c r="N55" s="1770"/>
      <c r="O55" s="1770"/>
      <c r="P55" s="1770"/>
      <c r="Q55" s="1769"/>
      <c r="R55" s="1769"/>
      <c r="S55" s="1769"/>
      <c r="T55" s="1769"/>
      <c r="U55" s="1771"/>
    </row>
    <row r="56" spans="1:23" ht="15" customHeight="1" x14ac:dyDescent="0.2">
      <c r="A56" s="1749" t="s">
        <v>17</v>
      </c>
      <c r="B56" s="1725" t="s">
        <v>18</v>
      </c>
      <c r="C56" s="1728" t="s">
        <v>17</v>
      </c>
      <c r="D56" s="1766" t="s">
        <v>75</v>
      </c>
      <c r="E56" s="1639" t="s">
        <v>78</v>
      </c>
      <c r="F56" s="1772">
        <v>1</v>
      </c>
      <c r="G56" s="47" t="s">
        <v>30</v>
      </c>
      <c r="H56" s="11"/>
      <c r="I56" s="738"/>
      <c r="J56" s="738"/>
      <c r="K56" s="740"/>
      <c r="L56" s="109"/>
      <c r="M56" s="738"/>
      <c r="N56" s="738"/>
      <c r="O56" s="47"/>
      <c r="P56" s="12"/>
      <c r="Q56" s="12"/>
      <c r="R56" s="1645" t="s">
        <v>51</v>
      </c>
      <c r="S56" s="1713"/>
      <c r="T56" s="1713"/>
      <c r="U56" s="1751"/>
    </row>
    <row r="57" spans="1:23" ht="15" customHeight="1" x14ac:dyDescent="0.2">
      <c r="A57" s="1749"/>
      <c r="B57" s="1725"/>
      <c r="C57" s="1728"/>
      <c r="D57" s="1766"/>
      <c r="E57" s="1639"/>
      <c r="F57" s="1772"/>
      <c r="G57" s="13" t="s">
        <v>73</v>
      </c>
      <c r="H57" s="191"/>
      <c r="I57" s="734"/>
      <c r="J57" s="734"/>
      <c r="K57" s="735"/>
      <c r="L57" s="49"/>
      <c r="M57" s="734"/>
      <c r="N57" s="734"/>
      <c r="O57" s="23"/>
      <c r="P57" s="14"/>
      <c r="Q57" s="14"/>
      <c r="R57" s="1641"/>
      <c r="S57" s="1687"/>
      <c r="T57" s="1687"/>
      <c r="U57" s="1693"/>
    </row>
    <row r="58" spans="1:23" ht="15" customHeight="1" x14ac:dyDescent="0.2">
      <c r="A58" s="1749"/>
      <c r="B58" s="1725"/>
      <c r="C58" s="1728"/>
      <c r="D58" s="1766"/>
      <c r="E58" s="1639"/>
      <c r="F58" s="1772"/>
      <c r="G58" s="15" t="s">
        <v>59</v>
      </c>
      <c r="H58" s="16">
        <f>+H59+H60</f>
        <v>0</v>
      </c>
      <c r="I58" s="17">
        <f t="shared" ref="I58:Q58" si="13">+I59+I60</f>
        <v>0</v>
      </c>
      <c r="J58" s="17">
        <f t="shared" si="13"/>
        <v>0</v>
      </c>
      <c r="K58" s="19">
        <f t="shared" si="13"/>
        <v>0</v>
      </c>
      <c r="L58" s="50"/>
      <c r="M58" s="17"/>
      <c r="N58" s="17"/>
      <c r="O58" s="18"/>
      <c r="P58" s="20">
        <f t="shared" si="13"/>
        <v>0</v>
      </c>
      <c r="Q58" s="20">
        <f t="shared" si="13"/>
        <v>0</v>
      </c>
      <c r="R58" s="1641"/>
      <c r="S58" s="1687"/>
      <c r="T58" s="1687"/>
      <c r="U58" s="1693"/>
    </row>
    <row r="59" spans="1:23" ht="15" customHeight="1" x14ac:dyDescent="0.2">
      <c r="A59" s="1749"/>
      <c r="B59" s="1725"/>
      <c r="C59" s="1728"/>
      <c r="D59" s="1766"/>
      <c r="E59" s="1639"/>
      <c r="F59" s="1772"/>
      <c r="G59" s="101" t="s">
        <v>130</v>
      </c>
      <c r="H59" s="123"/>
      <c r="I59" s="124"/>
      <c r="J59" s="124"/>
      <c r="K59" s="125"/>
      <c r="L59" s="126"/>
      <c r="M59" s="124"/>
      <c r="N59" s="124"/>
      <c r="O59" s="122"/>
      <c r="P59" s="127"/>
      <c r="Q59" s="127"/>
      <c r="R59" s="1641"/>
      <c r="S59" s="1687"/>
      <c r="T59" s="1687"/>
      <c r="U59" s="1693"/>
    </row>
    <row r="60" spans="1:23" ht="15" customHeight="1" x14ac:dyDescent="0.2">
      <c r="A60" s="1749"/>
      <c r="B60" s="1725"/>
      <c r="C60" s="1728"/>
      <c r="D60" s="1766"/>
      <c r="E60" s="1639"/>
      <c r="F60" s="1772"/>
      <c r="G60" s="101" t="s">
        <v>71</v>
      </c>
      <c r="H60" s="123"/>
      <c r="I60" s="124"/>
      <c r="J60" s="124"/>
      <c r="K60" s="125"/>
      <c r="L60" s="126"/>
      <c r="M60" s="124"/>
      <c r="N60" s="124"/>
      <c r="O60" s="122"/>
      <c r="P60" s="127"/>
      <c r="Q60" s="127"/>
      <c r="R60" s="1641"/>
      <c r="S60" s="1687"/>
      <c r="T60" s="1687"/>
      <c r="U60" s="1693"/>
    </row>
    <row r="61" spans="1:23" ht="15" customHeight="1" x14ac:dyDescent="0.2">
      <c r="A61" s="1749"/>
      <c r="B61" s="1725"/>
      <c r="C61" s="1728"/>
      <c r="D61" s="1766"/>
      <c r="E61" s="1639"/>
      <c r="F61" s="1772"/>
      <c r="G61" s="13" t="s">
        <v>36</v>
      </c>
      <c r="H61" s="191"/>
      <c r="I61" s="734"/>
      <c r="J61" s="734"/>
      <c r="K61" s="735"/>
      <c r="L61" s="49"/>
      <c r="M61" s="734"/>
      <c r="N61" s="734"/>
      <c r="O61" s="23"/>
      <c r="P61" s="14"/>
      <c r="Q61" s="14"/>
      <c r="R61" s="1641"/>
      <c r="S61" s="1687"/>
      <c r="T61" s="1687"/>
      <c r="U61" s="1693"/>
    </row>
    <row r="62" spans="1:23" ht="15" customHeight="1" x14ac:dyDescent="0.2">
      <c r="A62" s="1749"/>
      <c r="B62" s="1725"/>
      <c r="C62" s="1728"/>
      <c r="D62" s="1766"/>
      <c r="E62" s="1639"/>
      <c r="F62" s="1772"/>
      <c r="G62" s="13" t="s">
        <v>72</v>
      </c>
      <c r="H62" s="191"/>
      <c r="I62" s="734"/>
      <c r="J62" s="734"/>
      <c r="K62" s="735"/>
      <c r="L62" s="49"/>
      <c r="M62" s="734"/>
      <c r="N62" s="734"/>
      <c r="O62" s="23"/>
      <c r="P62" s="14"/>
      <c r="Q62" s="14"/>
      <c r="R62" s="1641"/>
      <c r="S62" s="1687"/>
      <c r="T62" s="1687"/>
      <c r="U62" s="1693"/>
    </row>
    <row r="63" spans="1:23" ht="15" customHeight="1" x14ac:dyDescent="0.2">
      <c r="A63" s="1634"/>
      <c r="B63" s="1635"/>
      <c r="C63" s="1699"/>
      <c r="D63" s="1637"/>
      <c r="E63" s="1695"/>
      <c r="F63" s="1773"/>
      <c r="G63" s="24" t="s">
        <v>13</v>
      </c>
      <c r="H63" s="28">
        <f>+H56+H57+H58+H61+H62</f>
        <v>0</v>
      </c>
      <c r="I63" s="26">
        <f t="shared" ref="I63:Q63" si="14">+I56+I57+I58+I61+I62</f>
        <v>0</v>
      </c>
      <c r="J63" s="26">
        <f t="shared" si="14"/>
        <v>0</v>
      </c>
      <c r="K63" s="31">
        <f t="shared" si="14"/>
        <v>0</v>
      </c>
      <c r="L63" s="27">
        <f t="shared" si="14"/>
        <v>0</v>
      </c>
      <c r="M63" s="26">
        <f t="shared" si="14"/>
        <v>0</v>
      </c>
      <c r="N63" s="26">
        <f t="shared" si="14"/>
        <v>0</v>
      </c>
      <c r="O63" s="30">
        <f t="shared" si="14"/>
        <v>0</v>
      </c>
      <c r="P63" s="32">
        <f t="shared" si="14"/>
        <v>0</v>
      </c>
      <c r="Q63" s="32">
        <f t="shared" si="14"/>
        <v>0</v>
      </c>
      <c r="R63" s="1641"/>
      <c r="S63" s="26">
        <f>SUM(S56)</f>
        <v>0</v>
      </c>
      <c r="T63" s="26">
        <f>SUM(T56)</f>
        <v>0</v>
      </c>
      <c r="U63" s="31"/>
    </row>
    <row r="64" spans="1:23" s="48" customFormat="1" ht="15" customHeight="1" x14ac:dyDescent="0.2">
      <c r="A64" s="1603" t="s">
        <v>17</v>
      </c>
      <c r="B64" s="1606" t="s">
        <v>18</v>
      </c>
      <c r="C64" s="1741" t="s">
        <v>18</v>
      </c>
      <c r="D64" s="1638" t="s">
        <v>127</v>
      </c>
      <c r="E64" s="1615" t="s">
        <v>152</v>
      </c>
      <c r="F64" s="1676" t="s">
        <v>17</v>
      </c>
      <c r="G64" s="23" t="s">
        <v>30</v>
      </c>
      <c r="H64" s="191"/>
      <c r="I64" s="215"/>
      <c r="J64" s="215"/>
      <c r="K64" s="216"/>
      <c r="L64" s="49"/>
      <c r="M64" s="215"/>
      <c r="N64" s="215"/>
      <c r="O64" s="23"/>
      <c r="P64" s="14">
        <f>ROUND(100021/1000,1)</f>
        <v>100</v>
      </c>
      <c r="Q64" s="14">
        <v>233.4</v>
      </c>
      <c r="R64" s="1641" t="s">
        <v>135</v>
      </c>
      <c r="S64" s="1687"/>
      <c r="T64" s="1687"/>
      <c r="U64" s="1693"/>
      <c r="V64" s="219"/>
      <c r="W64" s="219"/>
    </row>
    <row r="65" spans="1:24" s="219" customFormat="1" ht="15" customHeight="1" x14ac:dyDescent="0.2">
      <c r="A65" s="1604"/>
      <c r="B65" s="1607"/>
      <c r="C65" s="1764"/>
      <c r="D65" s="1765"/>
      <c r="E65" s="1616"/>
      <c r="F65" s="1677"/>
      <c r="G65" s="13" t="s">
        <v>73</v>
      </c>
      <c r="H65" s="191"/>
      <c r="I65" s="215"/>
      <c r="J65" s="215"/>
      <c r="K65" s="216"/>
      <c r="L65" s="49"/>
      <c r="M65" s="215"/>
      <c r="N65" s="215"/>
      <c r="O65" s="23"/>
      <c r="P65" s="14"/>
      <c r="Q65" s="14"/>
      <c r="R65" s="1641"/>
      <c r="S65" s="1687"/>
      <c r="T65" s="1687"/>
      <c r="U65" s="1693"/>
    </row>
    <row r="66" spans="1:24" s="219" customFormat="1" ht="15" customHeight="1" x14ac:dyDescent="0.2">
      <c r="A66" s="1604"/>
      <c r="B66" s="1607"/>
      <c r="C66" s="1764"/>
      <c r="D66" s="1765"/>
      <c r="E66" s="1616"/>
      <c r="F66" s="1677"/>
      <c r="G66" s="15" t="s">
        <v>59</v>
      </c>
      <c r="H66" s="16">
        <f>+H67+H68</f>
        <v>0</v>
      </c>
      <c r="I66" s="17">
        <f t="shared" ref="I66:Q66" si="15">+I67+I68</f>
        <v>0</v>
      </c>
      <c r="J66" s="17">
        <f t="shared" si="15"/>
        <v>0</v>
      </c>
      <c r="K66" s="19">
        <f t="shared" si="15"/>
        <v>0</v>
      </c>
      <c r="L66" s="50">
        <f t="shared" si="15"/>
        <v>0</v>
      </c>
      <c r="M66" s="17">
        <f t="shared" si="15"/>
        <v>0</v>
      </c>
      <c r="N66" s="17">
        <f t="shared" si="15"/>
        <v>0</v>
      </c>
      <c r="O66" s="18">
        <f t="shared" si="15"/>
        <v>0</v>
      </c>
      <c r="P66" s="20">
        <f t="shared" si="15"/>
        <v>17.7</v>
      </c>
      <c r="Q66" s="20">
        <f t="shared" si="15"/>
        <v>41.2</v>
      </c>
      <c r="R66" s="1641"/>
      <c r="S66" s="1687"/>
      <c r="T66" s="1687"/>
      <c r="U66" s="1693"/>
    </row>
    <row r="67" spans="1:24" s="219" customFormat="1" ht="15" customHeight="1" x14ac:dyDescent="0.2">
      <c r="A67" s="1604"/>
      <c r="B67" s="1607"/>
      <c r="C67" s="1764"/>
      <c r="D67" s="1765"/>
      <c r="E67" s="1616"/>
      <c r="F67" s="1677"/>
      <c r="G67" s="101" t="s">
        <v>130</v>
      </c>
      <c r="H67" s="141"/>
      <c r="I67" s="142"/>
      <c r="J67" s="142"/>
      <c r="K67" s="143"/>
      <c r="L67" s="155"/>
      <c r="M67" s="142"/>
      <c r="N67" s="142"/>
      <c r="O67" s="156"/>
      <c r="P67" s="157"/>
      <c r="Q67" s="157"/>
      <c r="R67" s="1641"/>
      <c r="S67" s="1687"/>
      <c r="T67" s="1687"/>
      <c r="U67" s="1693"/>
    </row>
    <row r="68" spans="1:24" s="219" customFormat="1" ht="15" customHeight="1" x14ac:dyDescent="0.2">
      <c r="A68" s="1604"/>
      <c r="B68" s="1607"/>
      <c r="C68" s="1764"/>
      <c r="D68" s="1765"/>
      <c r="E68" s="1616"/>
      <c r="F68" s="1677"/>
      <c r="G68" s="101" t="s">
        <v>71</v>
      </c>
      <c r="H68" s="141"/>
      <c r="I68" s="142"/>
      <c r="J68" s="142"/>
      <c r="K68" s="143"/>
      <c r="L68" s="155"/>
      <c r="M68" s="142"/>
      <c r="N68" s="142"/>
      <c r="O68" s="156"/>
      <c r="P68" s="157">
        <f>ROUND(17651/1000,1)</f>
        <v>17.7</v>
      </c>
      <c r="Q68" s="157">
        <v>41.2</v>
      </c>
      <c r="R68" s="1641"/>
      <c r="S68" s="1687"/>
      <c r="T68" s="1687"/>
      <c r="U68" s="1693"/>
    </row>
    <row r="69" spans="1:24" s="219" customFormat="1" ht="15" customHeight="1" x14ac:dyDescent="0.2">
      <c r="A69" s="1604"/>
      <c r="B69" s="1607"/>
      <c r="C69" s="1764"/>
      <c r="D69" s="1765"/>
      <c r="E69" s="1616"/>
      <c r="F69" s="1677"/>
      <c r="G69" s="13" t="s">
        <v>36</v>
      </c>
      <c r="H69" s="191"/>
      <c r="I69" s="215"/>
      <c r="J69" s="215"/>
      <c r="K69" s="216"/>
      <c r="L69" s="49"/>
      <c r="M69" s="215"/>
      <c r="N69" s="215"/>
      <c r="O69" s="23"/>
      <c r="P69" s="14"/>
      <c r="Q69" s="14"/>
      <c r="R69" s="1641"/>
      <c r="S69" s="1687"/>
      <c r="T69" s="1687"/>
      <c r="U69" s="1693"/>
    </row>
    <row r="70" spans="1:24" s="219" customFormat="1" ht="15" customHeight="1" x14ac:dyDescent="0.2">
      <c r="A70" s="1604"/>
      <c r="B70" s="1607"/>
      <c r="C70" s="1764"/>
      <c r="D70" s="1765"/>
      <c r="E70" s="1616"/>
      <c r="F70" s="1677"/>
      <c r="G70" s="13" t="s">
        <v>72</v>
      </c>
      <c r="H70" s="191"/>
      <c r="I70" s="215"/>
      <c r="J70" s="215"/>
      <c r="K70" s="216"/>
      <c r="L70" s="49"/>
      <c r="M70" s="215"/>
      <c r="N70" s="215"/>
      <c r="O70" s="23"/>
      <c r="P70" s="14"/>
      <c r="Q70" s="14"/>
      <c r="R70" s="1641"/>
      <c r="S70" s="1687"/>
      <c r="T70" s="1687"/>
      <c r="U70" s="1693"/>
    </row>
    <row r="71" spans="1:24" s="219" customFormat="1" ht="15" customHeight="1" x14ac:dyDescent="0.2">
      <c r="A71" s="1749"/>
      <c r="B71" s="1725"/>
      <c r="C71" s="1740"/>
      <c r="D71" s="1766"/>
      <c r="E71" s="1639"/>
      <c r="F71" s="1678"/>
      <c r="G71" s="24" t="s">
        <v>13</v>
      </c>
      <c r="H71" s="28">
        <f>+H64+H65+H66+H69+H70</f>
        <v>0</v>
      </c>
      <c r="I71" s="26">
        <f t="shared" ref="I71:Q71" si="16">+I64+I65+I66+I69+I70</f>
        <v>0</v>
      </c>
      <c r="J71" s="26">
        <f t="shared" si="16"/>
        <v>0</v>
      </c>
      <c r="K71" s="31">
        <f t="shared" si="16"/>
        <v>0</v>
      </c>
      <c r="L71" s="27">
        <f t="shared" si="16"/>
        <v>0</v>
      </c>
      <c r="M71" s="26">
        <f t="shared" si="16"/>
        <v>0</v>
      </c>
      <c r="N71" s="26">
        <f t="shared" si="16"/>
        <v>0</v>
      </c>
      <c r="O71" s="30">
        <f t="shared" si="16"/>
        <v>0</v>
      </c>
      <c r="P71" s="32">
        <f t="shared" si="16"/>
        <v>117.7</v>
      </c>
      <c r="Q71" s="32">
        <f t="shared" si="16"/>
        <v>274.60000000000002</v>
      </c>
      <c r="R71" s="1641"/>
      <c r="S71" s="26">
        <f>+S64</f>
        <v>0</v>
      </c>
      <c r="T71" s="26">
        <f>+T64</f>
        <v>0</v>
      </c>
      <c r="U71" s="31"/>
    </row>
    <row r="72" spans="1:24" s="48" customFormat="1" ht="15" customHeight="1" x14ac:dyDescent="0.2">
      <c r="A72" s="1603" t="s">
        <v>17</v>
      </c>
      <c r="B72" s="1606" t="s">
        <v>18</v>
      </c>
      <c r="C72" s="1728" t="s">
        <v>31</v>
      </c>
      <c r="D72" s="1679" t="s">
        <v>38</v>
      </c>
      <c r="E72" s="1615" t="s">
        <v>77</v>
      </c>
      <c r="F72" s="1754">
        <v>1</v>
      </c>
      <c r="G72" s="23" t="s">
        <v>30</v>
      </c>
      <c r="H72" s="191">
        <v>16.7</v>
      </c>
      <c r="I72" s="215">
        <v>1.8</v>
      </c>
      <c r="J72" s="215"/>
      <c r="K72" s="216">
        <v>14.9</v>
      </c>
      <c r="L72" s="49">
        <f>14.9+1.8</f>
        <v>16.7</v>
      </c>
      <c r="M72" s="215">
        <v>1.8</v>
      </c>
      <c r="N72" s="215"/>
      <c r="O72" s="23">
        <v>14.9</v>
      </c>
      <c r="P72" s="14"/>
      <c r="Q72" s="14"/>
      <c r="R72" s="1641" t="s">
        <v>64</v>
      </c>
      <c r="S72" s="1687">
        <v>1</v>
      </c>
      <c r="T72" s="1687">
        <v>1</v>
      </c>
      <c r="U72" s="1693"/>
      <c r="V72" s="219"/>
      <c r="W72" s="219"/>
    </row>
    <row r="73" spans="1:24" s="48" customFormat="1" ht="15" customHeight="1" x14ac:dyDescent="0.2">
      <c r="A73" s="1604"/>
      <c r="B73" s="1607"/>
      <c r="C73" s="1728"/>
      <c r="D73" s="1680"/>
      <c r="E73" s="1616"/>
      <c r="F73" s="1755"/>
      <c r="G73" s="13" t="s">
        <v>73</v>
      </c>
      <c r="H73" s="191"/>
      <c r="I73" s="215"/>
      <c r="J73" s="215"/>
      <c r="K73" s="216"/>
      <c r="L73" s="49"/>
      <c r="M73" s="215"/>
      <c r="N73" s="215"/>
      <c r="O73" s="23"/>
      <c r="P73" s="14"/>
      <c r="Q73" s="14"/>
      <c r="R73" s="1641"/>
      <c r="S73" s="1687"/>
      <c r="T73" s="1687"/>
      <c r="U73" s="1693"/>
      <c r="V73" s="1736"/>
      <c r="W73" s="1737"/>
      <c r="X73" s="1737"/>
    </row>
    <row r="74" spans="1:24" s="48" customFormat="1" ht="15" customHeight="1" x14ac:dyDescent="0.2">
      <c r="A74" s="1604"/>
      <c r="B74" s="1607"/>
      <c r="C74" s="1728"/>
      <c r="D74" s="1680"/>
      <c r="E74" s="1616"/>
      <c r="F74" s="1755"/>
      <c r="G74" s="15" t="s">
        <v>59</v>
      </c>
      <c r="H74" s="16">
        <f>+H75+H76</f>
        <v>0</v>
      </c>
      <c r="I74" s="17"/>
      <c r="J74" s="17"/>
      <c r="K74" s="19">
        <f t="shared" ref="K74:Q74" si="17">+K75+K76</f>
        <v>0</v>
      </c>
      <c r="L74" s="50">
        <f t="shared" si="17"/>
        <v>0</v>
      </c>
      <c r="M74" s="17">
        <f t="shared" si="17"/>
        <v>0</v>
      </c>
      <c r="N74" s="17">
        <f t="shared" si="17"/>
        <v>0</v>
      </c>
      <c r="O74" s="18">
        <f t="shared" si="17"/>
        <v>0</v>
      </c>
      <c r="P74" s="20">
        <f t="shared" si="17"/>
        <v>0</v>
      </c>
      <c r="Q74" s="20">
        <f t="shared" si="17"/>
        <v>0</v>
      </c>
      <c r="R74" s="1641"/>
      <c r="S74" s="1687"/>
      <c r="T74" s="1687"/>
      <c r="U74" s="1693"/>
      <c r="V74" s="219"/>
      <c r="W74" s="219"/>
    </row>
    <row r="75" spans="1:24" s="48" customFormat="1" ht="15" customHeight="1" x14ac:dyDescent="0.2">
      <c r="A75" s="1604"/>
      <c r="B75" s="1607"/>
      <c r="C75" s="1728"/>
      <c r="D75" s="1680"/>
      <c r="E75" s="1616"/>
      <c r="F75" s="1755"/>
      <c r="G75" s="101" t="s">
        <v>130</v>
      </c>
      <c r="H75" s="123"/>
      <c r="I75" s="124"/>
      <c r="J75" s="124"/>
      <c r="K75" s="125"/>
      <c r="L75" s="126"/>
      <c r="M75" s="124"/>
      <c r="N75" s="124"/>
      <c r="O75" s="122"/>
      <c r="P75" s="127"/>
      <c r="Q75" s="127"/>
      <c r="R75" s="1641"/>
      <c r="S75" s="1687"/>
      <c r="T75" s="1687"/>
      <c r="U75" s="1693"/>
      <c r="V75" s="219"/>
      <c r="W75" s="219"/>
    </row>
    <row r="76" spans="1:24" s="48" customFormat="1" ht="15" customHeight="1" x14ac:dyDescent="0.2">
      <c r="A76" s="1604"/>
      <c r="B76" s="1607"/>
      <c r="C76" s="1728"/>
      <c r="D76" s="1680"/>
      <c r="E76" s="1616"/>
      <c r="F76" s="1755"/>
      <c r="G76" s="101" t="s">
        <v>71</v>
      </c>
      <c r="H76" s="141"/>
      <c r="I76" s="142"/>
      <c r="J76" s="142"/>
      <c r="K76" s="143"/>
      <c r="L76" s="155"/>
      <c r="M76" s="142"/>
      <c r="N76" s="142"/>
      <c r="O76" s="156"/>
      <c r="P76" s="127"/>
      <c r="Q76" s="127"/>
      <c r="R76" s="1641"/>
      <c r="S76" s="1687"/>
      <c r="T76" s="1687"/>
      <c r="U76" s="1693"/>
      <c r="V76" s="219"/>
      <c r="W76" s="219"/>
    </row>
    <row r="77" spans="1:24" s="48" customFormat="1" ht="15" customHeight="1" x14ac:dyDescent="0.2">
      <c r="A77" s="1604"/>
      <c r="B77" s="1607"/>
      <c r="C77" s="1728"/>
      <c r="D77" s="1680"/>
      <c r="E77" s="1616"/>
      <c r="F77" s="1755"/>
      <c r="G77" s="13" t="s">
        <v>36</v>
      </c>
      <c r="H77" s="191"/>
      <c r="I77" s="215"/>
      <c r="J77" s="215"/>
      <c r="K77" s="216"/>
      <c r="L77" s="49"/>
      <c r="M77" s="215"/>
      <c r="N77" s="215"/>
      <c r="O77" s="23"/>
      <c r="P77" s="14"/>
      <c r="Q77" s="14"/>
      <c r="R77" s="1641"/>
      <c r="S77" s="1687"/>
      <c r="T77" s="1687"/>
      <c r="U77" s="1693"/>
      <c r="V77" s="219"/>
      <c r="W77" s="219"/>
    </row>
    <row r="78" spans="1:24" s="48" customFormat="1" ht="15" customHeight="1" x14ac:dyDescent="0.2">
      <c r="A78" s="1604"/>
      <c r="B78" s="1607"/>
      <c r="C78" s="1728"/>
      <c r="D78" s="1680"/>
      <c r="E78" s="1616"/>
      <c r="F78" s="1755"/>
      <c r="G78" s="13" t="s">
        <v>72</v>
      </c>
      <c r="H78" s="191"/>
      <c r="I78" s="215"/>
      <c r="J78" s="215"/>
      <c r="K78" s="216"/>
      <c r="L78" s="49"/>
      <c r="M78" s="215"/>
      <c r="N78" s="215"/>
      <c r="O78" s="23"/>
      <c r="P78" s="14"/>
      <c r="Q78" s="14"/>
      <c r="R78" s="1641"/>
      <c r="S78" s="1687"/>
      <c r="T78" s="1687"/>
      <c r="U78" s="1693"/>
      <c r="V78" s="219"/>
      <c r="W78" s="219"/>
    </row>
    <row r="79" spans="1:24" ht="15" customHeight="1" x14ac:dyDescent="0.2">
      <c r="A79" s="1749"/>
      <c r="B79" s="1725"/>
      <c r="C79" s="1699"/>
      <c r="D79" s="1722"/>
      <c r="E79" s="1639"/>
      <c r="F79" s="1744"/>
      <c r="G79" s="24" t="s">
        <v>13</v>
      </c>
      <c r="H79" s="28">
        <f>+H72+H73+H74+H77+H78</f>
        <v>16.7</v>
      </c>
      <c r="I79" s="26">
        <f t="shared" ref="I79:Q79" si="18">+I72+I73+I74+I77+I78</f>
        <v>1.8</v>
      </c>
      <c r="J79" s="26">
        <f t="shared" si="18"/>
        <v>0</v>
      </c>
      <c r="K79" s="31">
        <f t="shared" si="18"/>
        <v>14.9</v>
      </c>
      <c r="L79" s="27">
        <f t="shared" si="18"/>
        <v>16.7</v>
      </c>
      <c r="M79" s="26">
        <f t="shared" si="18"/>
        <v>1.8</v>
      </c>
      <c r="N79" s="26">
        <f t="shared" si="18"/>
        <v>0</v>
      </c>
      <c r="O79" s="30">
        <f t="shared" si="18"/>
        <v>14.9</v>
      </c>
      <c r="P79" s="32">
        <f t="shared" si="18"/>
        <v>0</v>
      </c>
      <c r="Q79" s="32">
        <f t="shared" si="18"/>
        <v>0</v>
      </c>
      <c r="R79" s="1641"/>
      <c r="S79" s="26">
        <f>+S72</f>
        <v>1</v>
      </c>
      <c r="T79" s="26">
        <f>+T72</f>
        <v>1</v>
      </c>
      <c r="U79" s="31"/>
    </row>
    <row r="80" spans="1:24" s="48" customFormat="1" ht="15" customHeight="1" x14ac:dyDescent="0.2">
      <c r="A80" s="1603" t="s">
        <v>17</v>
      </c>
      <c r="B80" s="1606" t="s">
        <v>18</v>
      </c>
      <c r="C80" s="1699" t="s">
        <v>43</v>
      </c>
      <c r="D80" s="1679" t="s">
        <v>39</v>
      </c>
      <c r="E80" s="1615" t="s">
        <v>79</v>
      </c>
      <c r="F80" s="1754">
        <v>1</v>
      </c>
      <c r="G80" s="23" t="s">
        <v>30</v>
      </c>
      <c r="H80" s="191"/>
      <c r="I80" s="215"/>
      <c r="J80" s="215"/>
      <c r="K80" s="216"/>
      <c r="L80" s="49"/>
      <c r="M80" s="215"/>
      <c r="N80" s="215"/>
      <c r="O80" s="23"/>
      <c r="P80" s="14"/>
      <c r="Q80" s="14"/>
      <c r="R80" s="1641" t="s">
        <v>68</v>
      </c>
      <c r="S80" s="1687">
        <v>1</v>
      </c>
      <c r="T80" s="1687">
        <v>1</v>
      </c>
      <c r="U80" s="1693"/>
      <c r="V80" s="219"/>
      <c r="W80" s="219"/>
    </row>
    <row r="81" spans="1:23" s="48" customFormat="1" ht="15" customHeight="1" x14ac:dyDescent="0.2">
      <c r="A81" s="1604"/>
      <c r="B81" s="1607"/>
      <c r="C81" s="1728"/>
      <c r="D81" s="1680"/>
      <c r="E81" s="1616"/>
      <c r="F81" s="1755"/>
      <c r="G81" s="13" t="s">
        <v>73</v>
      </c>
      <c r="H81" s="191"/>
      <c r="I81" s="215"/>
      <c r="J81" s="215"/>
      <c r="K81" s="216"/>
      <c r="L81" s="49"/>
      <c r="M81" s="215"/>
      <c r="N81" s="215"/>
      <c r="O81" s="23"/>
      <c r="P81" s="14"/>
      <c r="Q81" s="14"/>
      <c r="R81" s="1641"/>
      <c r="S81" s="1687"/>
      <c r="T81" s="1687"/>
      <c r="U81" s="1693"/>
      <c r="V81" s="219"/>
      <c r="W81" s="219"/>
    </row>
    <row r="82" spans="1:23" s="48" customFormat="1" ht="15" customHeight="1" x14ac:dyDescent="0.2">
      <c r="A82" s="1604"/>
      <c r="B82" s="1607"/>
      <c r="C82" s="1728"/>
      <c r="D82" s="1680"/>
      <c r="E82" s="1616"/>
      <c r="F82" s="1755"/>
      <c r="G82" s="15" t="s">
        <v>59</v>
      </c>
      <c r="H82" s="16">
        <f t="shared" ref="H82:P82" si="19">+H83+H84</f>
        <v>0</v>
      </c>
      <c r="I82" s="17">
        <f t="shared" si="19"/>
        <v>0</v>
      </c>
      <c r="J82" s="17">
        <f t="shared" si="19"/>
        <v>0</v>
      </c>
      <c r="K82" s="19">
        <f t="shared" si="19"/>
        <v>0</v>
      </c>
      <c r="L82" s="50">
        <f t="shared" si="19"/>
        <v>0</v>
      </c>
      <c r="M82" s="17">
        <f t="shared" si="19"/>
        <v>0</v>
      </c>
      <c r="N82" s="17">
        <f t="shared" si="19"/>
        <v>0</v>
      </c>
      <c r="O82" s="18">
        <f t="shared" si="19"/>
        <v>0</v>
      </c>
      <c r="P82" s="20">
        <f t="shared" si="19"/>
        <v>0</v>
      </c>
      <c r="Q82" s="20"/>
      <c r="R82" s="1641"/>
      <c r="S82" s="1687"/>
      <c r="T82" s="1687"/>
      <c r="U82" s="1693"/>
      <c r="V82" s="219"/>
      <c r="W82" s="219"/>
    </row>
    <row r="83" spans="1:23" s="48" customFormat="1" ht="15" customHeight="1" x14ac:dyDescent="0.2">
      <c r="A83" s="1604"/>
      <c r="B83" s="1607"/>
      <c r="C83" s="1728"/>
      <c r="D83" s="1680"/>
      <c r="E83" s="1616"/>
      <c r="F83" s="1755"/>
      <c r="G83" s="101" t="s">
        <v>130</v>
      </c>
      <c r="H83" s="141"/>
      <c r="I83" s="142"/>
      <c r="J83" s="142"/>
      <c r="K83" s="143"/>
      <c r="L83" s="155"/>
      <c r="M83" s="142"/>
      <c r="N83" s="142"/>
      <c r="O83" s="156"/>
      <c r="P83" s="127"/>
      <c r="Q83" s="127"/>
      <c r="R83" s="1641"/>
      <c r="S83" s="1687"/>
      <c r="T83" s="1687"/>
      <c r="U83" s="1693"/>
      <c r="V83" s="219"/>
      <c r="W83" s="219"/>
    </row>
    <row r="84" spans="1:23" s="48" customFormat="1" ht="15" customHeight="1" x14ac:dyDescent="0.2">
      <c r="A84" s="1604"/>
      <c r="B84" s="1607"/>
      <c r="C84" s="1728"/>
      <c r="D84" s="1680"/>
      <c r="E84" s="1616"/>
      <c r="F84" s="1755"/>
      <c r="G84" s="101" t="s">
        <v>71</v>
      </c>
      <c r="H84" s="141"/>
      <c r="I84" s="142"/>
      <c r="J84" s="142"/>
      <c r="K84" s="143"/>
      <c r="L84" s="155"/>
      <c r="M84" s="142"/>
      <c r="N84" s="142"/>
      <c r="O84" s="156"/>
      <c r="P84" s="127"/>
      <c r="Q84" s="127"/>
      <c r="R84" s="1641"/>
      <c r="S84" s="1687"/>
      <c r="T84" s="1687"/>
      <c r="U84" s="1693"/>
      <c r="V84" s="219"/>
      <c r="W84" s="219"/>
    </row>
    <row r="85" spans="1:23" s="48" customFormat="1" ht="15" customHeight="1" x14ac:dyDescent="0.2">
      <c r="A85" s="1604"/>
      <c r="B85" s="1607"/>
      <c r="C85" s="1728"/>
      <c r="D85" s="1680"/>
      <c r="E85" s="1616"/>
      <c r="F85" s="1755"/>
      <c r="G85" s="13" t="s">
        <v>36</v>
      </c>
      <c r="H85" s="191"/>
      <c r="I85" s="215"/>
      <c r="J85" s="215"/>
      <c r="K85" s="216"/>
      <c r="L85" s="49"/>
      <c r="M85" s="215"/>
      <c r="N85" s="215"/>
      <c r="O85" s="23"/>
      <c r="P85" s="14"/>
      <c r="Q85" s="14"/>
      <c r="R85" s="1641"/>
      <c r="S85" s="1687"/>
      <c r="T85" s="1687"/>
      <c r="U85" s="1693"/>
      <c r="V85" s="219"/>
      <c r="W85" s="219"/>
    </row>
    <row r="86" spans="1:23" s="48" customFormat="1" ht="15" customHeight="1" x14ac:dyDescent="0.2">
      <c r="A86" s="1604"/>
      <c r="B86" s="1607"/>
      <c r="C86" s="1728"/>
      <c r="D86" s="1680"/>
      <c r="E86" s="1616"/>
      <c r="F86" s="1755"/>
      <c r="G86" s="13" t="s">
        <v>72</v>
      </c>
      <c r="H86" s="191"/>
      <c r="I86" s="215"/>
      <c r="J86" s="215"/>
      <c r="K86" s="216"/>
      <c r="L86" s="49"/>
      <c r="M86" s="215"/>
      <c r="N86" s="215"/>
      <c r="O86" s="23"/>
      <c r="P86" s="14"/>
      <c r="Q86" s="14"/>
      <c r="R86" s="1641"/>
      <c r="S86" s="1687"/>
      <c r="T86" s="1687"/>
      <c r="U86" s="1693"/>
      <c r="V86" s="219"/>
      <c r="W86" s="219"/>
    </row>
    <row r="87" spans="1:23" ht="15.75" customHeight="1" x14ac:dyDescent="0.2">
      <c r="A87" s="1749"/>
      <c r="B87" s="1725"/>
      <c r="C87" s="1699"/>
      <c r="D87" s="1722"/>
      <c r="E87" s="1639"/>
      <c r="F87" s="1744"/>
      <c r="G87" s="24" t="s">
        <v>13</v>
      </c>
      <c r="H87" s="28">
        <f>+H80+H81+H82+H85+H86</f>
        <v>0</v>
      </c>
      <c r="I87" s="26">
        <f t="shared" ref="I87:Q87" si="20">+I80+I81+I82+I85+I86</f>
        <v>0</v>
      </c>
      <c r="J87" s="26">
        <f t="shared" si="20"/>
        <v>0</v>
      </c>
      <c r="K87" s="31">
        <f t="shared" si="20"/>
        <v>0</v>
      </c>
      <c r="L87" s="27">
        <f t="shared" si="20"/>
        <v>0</v>
      </c>
      <c r="M87" s="26">
        <f t="shared" si="20"/>
        <v>0</v>
      </c>
      <c r="N87" s="26">
        <f t="shared" si="20"/>
        <v>0</v>
      </c>
      <c r="O87" s="30">
        <f t="shared" si="20"/>
        <v>0</v>
      </c>
      <c r="P87" s="32">
        <f t="shared" si="20"/>
        <v>0</v>
      </c>
      <c r="Q87" s="32">
        <f t="shared" si="20"/>
        <v>0</v>
      </c>
      <c r="R87" s="1641"/>
      <c r="S87" s="26">
        <f>+S80</f>
        <v>1</v>
      </c>
      <c r="T87" s="26">
        <f>+T80</f>
        <v>1</v>
      </c>
      <c r="U87" s="31"/>
    </row>
    <row r="88" spans="1:23" s="48" customFormat="1" ht="15" customHeight="1" x14ac:dyDescent="0.2">
      <c r="A88" s="1603" t="s">
        <v>17</v>
      </c>
      <c r="B88" s="1606" t="s">
        <v>18</v>
      </c>
      <c r="C88" s="1728" t="s">
        <v>91</v>
      </c>
      <c r="D88" s="1679" t="s">
        <v>40</v>
      </c>
      <c r="E88" s="1615" t="s">
        <v>86</v>
      </c>
      <c r="F88" s="1754">
        <v>1</v>
      </c>
      <c r="G88" s="23" t="s">
        <v>30</v>
      </c>
      <c r="H88" s="191"/>
      <c r="I88" s="215"/>
      <c r="J88" s="215"/>
      <c r="K88" s="216"/>
      <c r="L88" s="49"/>
      <c r="M88" s="215"/>
      <c r="N88" s="215"/>
      <c r="O88" s="23"/>
      <c r="P88" s="14">
        <f>ROUND(24224/1000,1)</f>
        <v>24.2</v>
      </c>
      <c r="Q88" s="14">
        <f>ROUND(48447/1000,1)</f>
        <v>48.4</v>
      </c>
      <c r="R88" s="1641" t="s">
        <v>69</v>
      </c>
      <c r="S88" s="1687"/>
      <c r="T88" s="1687"/>
      <c r="U88" s="1756" t="s">
        <v>590</v>
      </c>
      <c r="V88" s="219"/>
      <c r="W88" s="219"/>
    </row>
    <row r="89" spans="1:23" s="48" customFormat="1" ht="15" customHeight="1" x14ac:dyDescent="0.2">
      <c r="A89" s="1604"/>
      <c r="B89" s="1607"/>
      <c r="C89" s="1728"/>
      <c r="D89" s="1680"/>
      <c r="E89" s="1616"/>
      <c r="F89" s="1755"/>
      <c r="G89" s="13" t="s">
        <v>73</v>
      </c>
      <c r="H89" s="191"/>
      <c r="I89" s="215"/>
      <c r="J89" s="215"/>
      <c r="K89" s="216"/>
      <c r="L89" s="49"/>
      <c r="M89" s="215"/>
      <c r="N89" s="215"/>
      <c r="O89" s="23"/>
      <c r="P89" s="14">
        <v>2</v>
      </c>
      <c r="Q89" s="14">
        <v>3.6</v>
      </c>
      <c r="R89" s="1641"/>
      <c r="S89" s="1687"/>
      <c r="T89" s="1687"/>
      <c r="U89" s="1757"/>
      <c r="V89" s="219"/>
      <c r="W89" s="219"/>
    </row>
    <row r="90" spans="1:23" s="48" customFormat="1" ht="15" customHeight="1" x14ac:dyDescent="0.2">
      <c r="A90" s="1604"/>
      <c r="B90" s="1607"/>
      <c r="C90" s="1728"/>
      <c r="D90" s="1680"/>
      <c r="E90" s="1616"/>
      <c r="F90" s="1755"/>
      <c r="G90" s="15" t="s">
        <v>59</v>
      </c>
      <c r="H90" s="16">
        <f>+H91+H92</f>
        <v>0</v>
      </c>
      <c r="I90" s="17">
        <f t="shared" ref="I90:Q90" si="21">+I91+I92</f>
        <v>0</v>
      </c>
      <c r="J90" s="17">
        <f t="shared" si="21"/>
        <v>0</v>
      </c>
      <c r="K90" s="19">
        <f t="shared" si="21"/>
        <v>0</v>
      </c>
      <c r="L90" s="50">
        <f t="shared" si="21"/>
        <v>0</v>
      </c>
      <c r="M90" s="17">
        <f t="shared" si="21"/>
        <v>0</v>
      </c>
      <c r="N90" s="17">
        <f t="shared" si="21"/>
        <v>0</v>
      </c>
      <c r="O90" s="18">
        <f t="shared" si="21"/>
        <v>0</v>
      </c>
      <c r="P90" s="20">
        <f t="shared" si="21"/>
        <v>0</v>
      </c>
      <c r="Q90" s="20">
        <f t="shared" si="21"/>
        <v>0</v>
      </c>
      <c r="R90" s="1641"/>
      <c r="S90" s="1687"/>
      <c r="T90" s="1687"/>
      <c r="U90" s="1757"/>
      <c r="V90" s="219"/>
      <c r="W90" s="219"/>
    </row>
    <row r="91" spans="1:23" s="48" customFormat="1" ht="15" customHeight="1" x14ac:dyDescent="0.2">
      <c r="A91" s="1604"/>
      <c r="B91" s="1607"/>
      <c r="C91" s="1728"/>
      <c r="D91" s="1680"/>
      <c r="E91" s="1616"/>
      <c r="F91" s="1755"/>
      <c r="G91" s="101" t="s">
        <v>130</v>
      </c>
      <c r="H91" s="123"/>
      <c r="I91" s="124"/>
      <c r="J91" s="124"/>
      <c r="K91" s="125"/>
      <c r="L91" s="126"/>
      <c r="M91" s="124"/>
      <c r="N91" s="124"/>
      <c r="O91" s="122"/>
      <c r="P91" s="127"/>
      <c r="Q91" s="127"/>
      <c r="R91" s="1641"/>
      <c r="S91" s="1687"/>
      <c r="T91" s="1687"/>
      <c r="U91" s="1757"/>
      <c r="V91" s="219"/>
      <c r="W91" s="219"/>
    </row>
    <row r="92" spans="1:23" s="48" customFormat="1" ht="15" customHeight="1" x14ac:dyDescent="0.2">
      <c r="A92" s="1604"/>
      <c r="B92" s="1607"/>
      <c r="C92" s="1728"/>
      <c r="D92" s="1680"/>
      <c r="E92" s="1616"/>
      <c r="F92" s="1755"/>
      <c r="G92" s="101" t="s">
        <v>71</v>
      </c>
      <c r="H92" s="123"/>
      <c r="I92" s="124"/>
      <c r="J92" s="124"/>
      <c r="K92" s="125"/>
      <c r="L92" s="126"/>
      <c r="M92" s="124"/>
      <c r="N92" s="124"/>
      <c r="O92" s="122"/>
      <c r="P92" s="127"/>
      <c r="Q92" s="127"/>
      <c r="R92" s="1641" t="s">
        <v>139</v>
      </c>
      <c r="S92" s="1687"/>
      <c r="T92" s="1687"/>
      <c r="U92" s="1757"/>
      <c r="V92" s="219"/>
      <c r="W92" s="219"/>
    </row>
    <row r="93" spans="1:23" s="48" customFormat="1" ht="15" customHeight="1" x14ac:dyDescent="0.2">
      <c r="A93" s="1604"/>
      <c r="B93" s="1607"/>
      <c r="C93" s="1728"/>
      <c r="D93" s="1680"/>
      <c r="E93" s="1616"/>
      <c r="F93" s="1755"/>
      <c r="G93" s="13" t="s">
        <v>36</v>
      </c>
      <c r="H93" s="191"/>
      <c r="I93" s="215"/>
      <c r="J93" s="215"/>
      <c r="K93" s="216"/>
      <c r="L93" s="49"/>
      <c r="M93" s="215"/>
      <c r="N93" s="215"/>
      <c r="O93" s="23"/>
      <c r="P93" s="14">
        <v>287</v>
      </c>
      <c r="Q93" s="14"/>
      <c r="R93" s="1641"/>
      <c r="S93" s="1687"/>
      <c r="T93" s="1687"/>
      <c r="U93" s="1757"/>
      <c r="V93" s="219"/>
      <c r="W93" s="219"/>
    </row>
    <row r="94" spans="1:23" s="48" customFormat="1" ht="14.25" customHeight="1" x14ac:dyDescent="0.2">
      <c r="A94" s="1604"/>
      <c r="B94" s="1607"/>
      <c r="C94" s="1728"/>
      <c r="D94" s="1680"/>
      <c r="E94" s="1616"/>
      <c r="F94" s="1755"/>
      <c r="G94" s="13" t="s">
        <v>72</v>
      </c>
      <c r="H94" s="191"/>
      <c r="I94" s="215"/>
      <c r="J94" s="215"/>
      <c r="K94" s="216"/>
      <c r="L94" s="49"/>
      <c r="M94" s="215"/>
      <c r="N94" s="215"/>
      <c r="O94" s="23"/>
      <c r="P94" s="14"/>
      <c r="Q94" s="14"/>
      <c r="R94" s="1641"/>
      <c r="S94" s="1687"/>
      <c r="T94" s="1687"/>
      <c r="U94" s="1757"/>
      <c r="V94" s="219"/>
      <c r="W94" s="219"/>
    </row>
    <row r="95" spans="1:23" ht="15" customHeight="1" x14ac:dyDescent="0.2">
      <c r="A95" s="1749"/>
      <c r="B95" s="1725"/>
      <c r="C95" s="1699"/>
      <c r="D95" s="1722"/>
      <c r="E95" s="1639"/>
      <c r="F95" s="1744"/>
      <c r="G95" s="24" t="s">
        <v>13</v>
      </c>
      <c r="H95" s="28">
        <f>+H88+H89+H90+H93+H94</f>
        <v>0</v>
      </c>
      <c r="I95" s="26">
        <f t="shared" ref="I95:Q95" si="22">+I88+I89+I90+I93+I94</f>
        <v>0</v>
      </c>
      <c r="J95" s="26">
        <f t="shared" si="22"/>
        <v>0</v>
      </c>
      <c r="K95" s="31">
        <f t="shared" si="22"/>
        <v>0</v>
      </c>
      <c r="L95" s="27">
        <f t="shared" si="22"/>
        <v>0</v>
      </c>
      <c r="M95" s="26">
        <f t="shared" si="22"/>
        <v>0</v>
      </c>
      <c r="N95" s="26">
        <f t="shared" si="22"/>
        <v>0</v>
      </c>
      <c r="O95" s="30">
        <f t="shared" si="22"/>
        <v>0</v>
      </c>
      <c r="P95" s="32">
        <f t="shared" si="22"/>
        <v>313.2</v>
      </c>
      <c r="Q95" s="32">
        <f t="shared" si="22"/>
        <v>52</v>
      </c>
      <c r="R95" s="1641"/>
      <c r="S95" s="26">
        <f>+S88</f>
        <v>0</v>
      </c>
      <c r="T95" s="26">
        <f>+T88</f>
        <v>0</v>
      </c>
      <c r="U95" s="31"/>
    </row>
    <row r="96" spans="1:23" s="48" customFormat="1" ht="15" customHeight="1" x14ac:dyDescent="0.2">
      <c r="A96" s="1603" t="s">
        <v>17</v>
      </c>
      <c r="B96" s="1606" t="s">
        <v>18</v>
      </c>
      <c r="C96" s="1728" t="s">
        <v>92</v>
      </c>
      <c r="D96" s="1679" t="s">
        <v>143</v>
      </c>
      <c r="E96" s="1615" t="s">
        <v>80</v>
      </c>
      <c r="F96" s="1754">
        <v>1</v>
      </c>
      <c r="G96" s="23" t="s">
        <v>30</v>
      </c>
      <c r="H96" s="191"/>
      <c r="I96" s="215"/>
      <c r="J96" s="215"/>
      <c r="K96" s="216"/>
      <c r="L96" s="49"/>
      <c r="M96" s="215"/>
      <c r="N96" s="215"/>
      <c r="O96" s="23"/>
      <c r="P96" s="14"/>
      <c r="Q96" s="14"/>
      <c r="R96" s="1641" t="s">
        <v>46</v>
      </c>
      <c r="S96" s="1763">
        <v>1</v>
      </c>
      <c r="T96" s="1687">
        <v>1</v>
      </c>
      <c r="U96" s="1756" t="s">
        <v>589</v>
      </c>
      <c r="V96" s="219"/>
      <c r="W96" s="219"/>
    </row>
    <row r="97" spans="1:25" s="48" customFormat="1" ht="15" customHeight="1" x14ac:dyDescent="0.2">
      <c r="A97" s="1604"/>
      <c r="B97" s="1607"/>
      <c r="C97" s="1728"/>
      <c r="D97" s="1680"/>
      <c r="E97" s="1616"/>
      <c r="F97" s="1755"/>
      <c r="G97" s="13" t="s">
        <v>73</v>
      </c>
      <c r="H97" s="191"/>
      <c r="I97" s="215"/>
      <c r="J97" s="215"/>
      <c r="K97" s="216"/>
      <c r="L97" s="49"/>
      <c r="M97" s="215"/>
      <c r="N97" s="215"/>
      <c r="O97" s="23"/>
      <c r="P97" s="14"/>
      <c r="Q97" s="14"/>
      <c r="R97" s="1641"/>
      <c r="S97" s="1763"/>
      <c r="T97" s="1687"/>
      <c r="U97" s="1757"/>
      <c r="V97" s="219"/>
      <c r="W97" s="219"/>
    </row>
    <row r="98" spans="1:25" s="48" customFormat="1" ht="15" customHeight="1" x14ac:dyDescent="0.2">
      <c r="A98" s="1604"/>
      <c r="B98" s="1607"/>
      <c r="C98" s="1728"/>
      <c r="D98" s="1680"/>
      <c r="E98" s="1616"/>
      <c r="F98" s="1755"/>
      <c r="G98" s="15" t="s">
        <v>59</v>
      </c>
      <c r="H98" s="16"/>
      <c r="I98" s="17"/>
      <c r="J98" s="17"/>
      <c r="K98" s="19"/>
      <c r="L98" s="50">
        <f>+L99+L100</f>
        <v>5.7</v>
      </c>
      <c r="M98" s="17">
        <f t="shared" ref="M98:Q98" si="23">+M99+M100</f>
        <v>0</v>
      </c>
      <c r="N98" s="17">
        <f t="shared" si="23"/>
        <v>0</v>
      </c>
      <c r="O98" s="18">
        <f t="shared" si="23"/>
        <v>5.7</v>
      </c>
      <c r="P98" s="20">
        <f t="shared" si="23"/>
        <v>15.5</v>
      </c>
      <c r="Q98" s="20">
        <f t="shared" si="23"/>
        <v>0</v>
      </c>
      <c r="R98" s="1641"/>
      <c r="S98" s="1763"/>
      <c r="T98" s="1687"/>
      <c r="U98" s="1757"/>
      <c r="V98" s="219"/>
      <c r="W98" s="219"/>
    </row>
    <row r="99" spans="1:25" s="48" customFormat="1" ht="15" customHeight="1" x14ac:dyDescent="0.2">
      <c r="A99" s="1604"/>
      <c r="B99" s="1607"/>
      <c r="C99" s="1728"/>
      <c r="D99" s="1680"/>
      <c r="E99" s="1616"/>
      <c r="F99" s="1755"/>
      <c r="G99" s="101" t="s">
        <v>130</v>
      </c>
      <c r="H99" s="141"/>
      <c r="I99" s="142"/>
      <c r="J99" s="142"/>
      <c r="K99" s="143"/>
      <c r="L99" s="155"/>
      <c r="M99" s="142"/>
      <c r="N99" s="142"/>
      <c r="O99" s="156"/>
      <c r="P99" s="157"/>
      <c r="Q99" s="127"/>
      <c r="R99" s="1641"/>
      <c r="S99" s="1763"/>
      <c r="T99" s="1687"/>
      <c r="U99" s="1757"/>
      <c r="V99" s="219"/>
      <c r="W99" s="219"/>
    </row>
    <row r="100" spans="1:25" s="48" customFormat="1" ht="15" customHeight="1" x14ac:dyDescent="0.2">
      <c r="A100" s="1604"/>
      <c r="B100" s="1607"/>
      <c r="C100" s="1728"/>
      <c r="D100" s="1680"/>
      <c r="E100" s="1616"/>
      <c r="F100" s="1755"/>
      <c r="G100" s="101" t="s">
        <v>71</v>
      </c>
      <c r="H100" s="141">
        <v>21.2</v>
      </c>
      <c r="I100" s="142"/>
      <c r="J100" s="142"/>
      <c r="K100" s="143">
        <v>21.2</v>
      </c>
      <c r="L100" s="155">
        <v>5.7</v>
      </c>
      <c r="M100" s="142"/>
      <c r="N100" s="142"/>
      <c r="O100" s="156">
        <v>5.7</v>
      </c>
      <c r="P100" s="157">
        <v>15.5</v>
      </c>
      <c r="Q100" s="127"/>
      <c r="R100" s="1641"/>
      <c r="S100" s="1763"/>
      <c r="T100" s="1687"/>
      <c r="U100" s="1757"/>
      <c r="V100" s="219"/>
      <c r="W100" s="219"/>
    </row>
    <row r="101" spans="1:25" s="48" customFormat="1" ht="15" customHeight="1" x14ac:dyDescent="0.2">
      <c r="A101" s="1604"/>
      <c r="B101" s="1607"/>
      <c r="C101" s="1728"/>
      <c r="D101" s="1680"/>
      <c r="E101" s="1616"/>
      <c r="F101" s="1755"/>
      <c r="G101" s="13" t="s">
        <v>36</v>
      </c>
      <c r="H101" s="141">
        <v>125</v>
      </c>
      <c r="I101" s="142"/>
      <c r="J101" s="142"/>
      <c r="K101" s="143">
        <v>125</v>
      </c>
      <c r="L101" s="155">
        <v>125</v>
      </c>
      <c r="M101" s="142"/>
      <c r="N101" s="142"/>
      <c r="O101" s="156">
        <v>125</v>
      </c>
      <c r="P101" s="157"/>
      <c r="Q101" s="14"/>
      <c r="R101" s="1641"/>
      <c r="S101" s="1763"/>
      <c r="T101" s="1687"/>
      <c r="U101" s="1757"/>
      <c r="V101" s="219"/>
      <c r="W101" s="219"/>
    </row>
    <row r="102" spans="1:25" s="48" customFormat="1" ht="15" customHeight="1" x14ac:dyDescent="0.2">
      <c r="A102" s="1604"/>
      <c r="B102" s="1607"/>
      <c r="C102" s="1728"/>
      <c r="D102" s="1680"/>
      <c r="E102" s="1616"/>
      <c r="F102" s="1755"/>
      <c r="G102" s="13" t="s">
        <v>72</v>
      </c>
      <c r="H102" s="191"/>
      <c r="I102" s="215"/>
      <c r="J102" s="215"/>
      <c r="K102" s="216"/>
      <c r="L102" s="49"/>
      <c r="M102" s="215"/>
      <c r="N102" s="215"/>
      <c r="O102" s="23"/>
      <c r="P102" s="14"/>
      <c r="Q102" s="14"/>
      <c r="R102" s="1641"/>
      <c r="S102" s="1763"/>
      <c r="T102" s="1687"/>
      <c r="U102" s="1757"/>
      <c r="V102" s="219"/>
      <c r="W102" s="219"/>
    </row>
    <row r="103" spans="1:25" ht="15" customHeight="1" x14ac:dyDescent="0.2">
      <c r="A103" s="1749"/>
      <c r="B103" s="1725"/>
      <c r="C103" s="1699"/>
      <c r="D103" s="1722"/>
      <c r="E103" s="1639"/>
      <c r="F103" s="1744"/>
      <c r="G103" s="24" t="s">
        <v>13</v>
      </c>
      <c r="H103" s="28">
        <f>+H96+H97+H98+H101+H102</f>
        <v>125</v>
      </c>
      <c r="I103" s="26">
        <f t="shared" ref="I103:Q103" si="24">+I96+I97+I98+I101+I102</f>
        <v>0</v>
      </c>
      <c r="J103" s="26">
        <f t="shared" si="24"/>
        <v>0</v>
      </c>
      <c r="K103" s="31">
        <f t="shared" si="24"/>
        <v>125</v>
      </c>
      <c r="L103" s="27">
        <f t="shared" si="24"/>
        <v>130.69999999999999</v>
      </c>
      <c r="M103" s="26">
        <f t="shared" si="24"/>
        <v>0</v>
      </c>
      <c r="N103" s="26">
        <f t="shared" si="24"/>
        <v>0</v>
      </c>
      <c r="O103" s="30">
        <f t="shared" si="24"/>
        <v>130.69999999999999</v>
      </c>
      <c r="P103" s="32">
        <f t="shared" si="24"/>
        <v>15.5</v>
      </c>
      <c r="Q103" s="32">
        <f t="shared" si="24"/>
        <v>0</v>
      </c>
      <c r="R103" s="1641"/>
      <c r="S103" s="26">
        <f>+S96</f>
        <v>1</v>
      </c>
      <c r="T103" s="26">
        <f>+T96</f>
        <v>1</v>
      </c>
      <c r="U103" s="31"/>
    </row>
    <row r="104" spans="1:25" s="52" customFormat="1" ht="15" customHeight="1" x14ac:dyDescent="0.2">
      <c r="A104" s="1603" t="s">
        <v>17</v>
      </c>
      <c r="B104" s="1606" t="s">
        <v>18</v>
      </c>
      <c r="C104" s="1728" t="s">
        <v>93</v>
      </c>
      <c r="D104" s="1701" t="s">
        <v>153</v>
      </c>
      <c r="E104" s="1615" t="s">
        <v>55</v>
      </c>
      <c r="F104" s="1754">
        <v>1</v>
      </c>
      <c r="G104" s="23" t="s">
        <v>30</v>
      </c>
      <c r="H104" s="191"/>
      <c r="I104" s="215"/>
      <c r="J104" s="215"/>
      <c r="K104" s="216"/>
      <c r="L104" s="49"/>
      <c r="M104" s="215"/>
      <c r="N104" s="215"/>
      <c r="O104" s="23"/>
      <c r="P104" s="14"/>
      <c r="Q104" s="14"/>
      <c r="R104" s="1641" t="s">
        <v>47</v>
      </c>
      <c r="S104" s="1687"/>
      <c r="T104" s="1687"/>
      <c r="U104" s="1756" t="s">
        <v>588</v>
      </c>
      <c r="V104" s="1761"/>
      <c r="W104" s="1762"/>
      <c r="X104" s="1762"/>
      <c r="Y104" s="1762"/>
    </row>
    <row r="105" spans="1:25" s="52" customFormat="1" ht="15" customHeight="1" x14ac:dyDescent="0.2">
      <c r="A105" s="1604"/>
      <c r="B105" s="1607"/>
      <c r="C105" s="1728"/>
      <c r="D105" s="1701"/>
      <c r="E105" s="1616"/>
      <c r="F105" s="1755"/>
      <c r="G105" s="13" t="s">
        <v>73</v>
      </c>
      <c r="H105" s="191"/>
      <c r="I105" s="215"/>
      <c r="J105" s="215"/>
      <c r="K105" s="216"/>
      <c r="L105" s="192"/>
      <c r="M105" s="224"/>
      <c r="N105" s="224"/>
      <c r="O105" s="193"/>
      <c r="P105" s="14"/>
      <c r="Q105" s="14"/>
      <c r="R105" s="1641"/>
      <c r="S105" s="1687"/>
      <c r="T105" s="1687"/>
      <c r="U105" s="1757"/>
      <c r="V105" s="51"/>
      <c r="W105" s="51"/>
    </row>
    <row r="106" spans="1:25" s="52" customFormat="1" ht="15" customHeight="1" x14ac:dyDescent="0.2">
      <c r="A106" s="1604"/>
      <c r="B106" s="1607"/>
      <c r="C106" s="1728"/>
      <c r="D106" s="1701"/>
      <c r="E106" s="1616"/>
      <c r="F106" s="1755"/>
      <c r="G106" s="15" t="s">
        <v>59</v>
      </c>
      <c r="H106" s="16">
        <f>+H107+H108</f>
        <v>80</v>
      </c>
      <c r="I106" s="17">
        <f t="shared" ref="I106:Q106" si="25">+I107+I108</f>
        <v>0</v>
      </c>
      <c r="J106" s="17">
        <f t="shared" si="25"/>
        <v>0</v>
      </c>
      <c r="K106" s="19">
        <f t="shared" si="25"/>
        <v>80</v>
      </c>
      <c r="L106" s="17">
        <f t="shared" si="25"/>
        <v>41.1</v>
      </c>
      <c r="M106" s="17">
        <f t="shared" si="25"/>
        <v>0</v>
      </c>
      <c r="N106" s="17">
        <f t="shared" si="25"/>
        <v>0</v>
      </c>
      <c r="O106" s="17">
        <f t="shared" si="25"/>
        <v>41.1</v>
      </c>
      <c r="P106" s="20">
        <f t="shared" si="25"/>
        <v>58.8</v>
      </c>
      <c r="Q106" s="20">
        <f t="shared" si="25"/>
        <v>86</v>
      </c>
      <c r="R106" s="1641"/>
      <c r="S106" s="1687"/>
      <c r="T106" s="1687"/>
      <c r="U106" s="1757"/>
      <c r="V106" s="51"/>
      <c r="W106" s="51"/>
    </row>
    <row r="107" spans="1:25" s="52" customFormat="1" ht="15" customHeight="1" x14ac:dyDescent="0.2">
      <c r="A107" s="1604"/>
      <c r="B107" s="1607"/>
      <c r="C107" s="1728"/>
      <c r="D107" s="1701"/>
      <c r="E107" s="1616"/>
      <c r="F107" s="1755"/>
      <c r="G107" s="101" t="s">
        <v>130</v>
      </c>
      <c r="H107" s="198"/>
      <c r="I107" s="199"/>
      <c r="J107" s="199"/>
      <c r="K107" s="200"/>
      <c r="L107" s="201"/>
      <c r="M107" s="199"/>
      <c r="N107" s="199"/>
      <c r="O107" s="202"/>
      <c r="P107" s="203"/>
      <c r="Q107" s="127"/>
      <c r="R107" s="1641"/>
      <c r="S107" s="1687"/>
      <c r="T107" s="1687"/>
      <c r="U107" s="1757"/>
      <c r="V107" s="51"/>
      <c r="W107" s="51"/>
    </row>
    <row r="108" spans="1:25" s="52" customFormat="1" ht="15" customHeight="1" x14ac:dyDescent="0.2">
      <c r="A108" s="1604"/>
      <c r="B108" s="1607"/>
      <c r="C108" s="1728"/>
      <c r="D108" s="1701"/>
      <c r="E108" s="1616"/>
      <c r="F108" s="1755"/>
      <c r="G108" s="101" t="s">
        <v>71</v>
      </c>
      <c r="H108" s="204">
        <v>80</v>
      </c>
      <c r="I108" s="221"/>
      <c r="J108" s="221"/>
      <c r="K108" s="205">
        <v>80</v>
      </c>
      <c r="L108" s="201">
        <v>41.1</v>
      </c>
      <c r="M108" s="221"/>
      <c r="N108" s="221"/>
      <c r="O108" s="202">
        <v>41.1</v>
      </c>
      <c r="P108" s="206">
        <v>58.8</v>
      </c>
      <c r="Q108" s="157">
        <v>86</v>
      </c>
      <c r="R108" s="1641"/>
      <c r="S108" s="1687"/>
      <c r="T108" s="1687"/>
      <c r="U108" s="1757"/>
      <c r="V108" s="51"/>
      <c r="W108" s="51"/>
    </row>
    <row r="109" spans="1:25" s="52" customFormat="1" ht="15" customHeight="1" x14ac:dyDescent="0.2">
      <c r="A109" s="1604"/>
      <c r="B109" s="1607"/>
      <c r="C109" s="1728"/>
      <c r="D109" s="1701"/>
      <c r="E109" s="1616"/>
      <c r="F109" s="1755"/>
      <c r="G109" s="13" t="s">
        <v>36</v>
      </c>
      <c r="H109" s="204">
        <v>80</v>
      </c>
      <c r="I109" s="221"/>
      <c r="J109" s="221"/>
      <c r="K109" s="205">
        <v>80</v>
      </c>
      <c r="L109" s="201">
        <v>80</v>
      </c>
      <c r="M109" s="221"/>
      <c r="N109" s="221"/>
      <c r="O109" s="202">
        <v>80</v>
      </c>
      <c r="P109" s="206">
        <f>ROUND(235750.7/1000,1)</f>
        <v>235.8</v>
      </c>
      <c r="Q109" s="157">
        <v>343.5</v>
      </c>
      <c r="R109" s="1641"/>
      <c r="S109" s="1687"/>
      <c r="T109" s="1687"/>
      <c r="U109" s="1757"/>
      <c r="V109" s="51"/>
      <c r="W109" s="51"/>
    </row>
    <row r="110" spans="1:25" s="52" customFormat="1" ht="15" customHeight="1" x14ac:dyDescent="0.2">
      <c r="A110" s="1604"/>
      <c r="B110" s="1607"/>
      <c r="C110" s="1728"/>
      <c r="D110" s="1701"/>
      <c r="E110" s="1616"/>
      <c r="F110" s="1755"/>
      <c r="G110" s="13" t="s">
        <v>72</v>
      </c>
      <c r="H110" s="204"/>
      <c r="I110" s="221"/>
      <c r="J110" s="221"/>
      <c r="K110" s="205"/>
      <c r="L110" s="201"/>
      <c r="M110" s="221"/>
      <c r="N110" s="221"/>
      <c r="O110" s="202"/>
      <c r="P110" s="206"/>
      <c r="Q110" s="157"/>
      <c r="R110" s="1641"/>
      <c r="S110" s="1687"/>
      <c r="T110" s="1687"/>
      <c r="U110" s="1757"/>
      <c r="V110" s="51"/>
      <c r="W110" s="51"/>
    </row>
    <row r="111" spans="1:25" ht="15" customHeight="1" x14ac:dyDescent="0.2">
      <c r="A111" s="1749"/>
      <c r="B111" s="1725"/>
      <c r="C111" s="1699"/>
      <c r="D111" s="1701"/>
      <c r="E111" s="1639"/>
      <c r="F111" s="1744"/>
      <c r="G111" s="24" t="s">
        <v>13</v>
      </c>
      <c r="H111" s="28">
        <f>+H104+H105+H106+H109+H110</f>
        <v>160</v>
      </c>
      <c r="I111" s="26">
        <f t="shared" ref="I111:Q111" si="26">+I104+I105+I106+I109+I110</f>
        <v>0</v>
      </c>
      <c r="J111" s="26">
        <f t="shared" si="26"/>
        <v>0</v>
      </c>
      <c r="K111" s="31">
        <f t="shared" si="26"/>
        <v>160</v>
      </c>
      <c r="L111" s="27">
        <f t="shared" si="26"/>
        <v>121.1</v>
      </c>
      <c r="M111" s="26">
        <f t="shared" si="26"/>
        <v>0</v>
      </c>
      <c r="N111" s="26">
        <f t="shared" si="26"/>
        <v>0</v>
      </c>
      <c r="O111" s="30">
        <f t="shared" si="26"/>
        <v>121.1</v>
      </c>
      <c r="P111" s="32">
        <f t="shared" si="26"/>
        <v>294.60000000000002</v>
      </c>
      <c r="Q111" s="32">
        <f t="shared" si="26"/>
        <v>429.5</v>
      </c>
      <c r="R111" s="1641"/>
      <c r="S111" s="26">
        <f>+S104</f>
        <v>0</v>
      </c>
      <c r="T111" s="26">
        <f>+T104</f>
        <v>0</v>
      </c>
      <c r="U111" s="31"/>
    </row>
    <row r="112" spans="1:25" s="48" customFormat="1" ht="15" customHeight="1" x14ac:dyDescent="0.2">
      <c r="A112" s="1603" t="s">
        <v>17</v>
      </c>
      <c r="B112" s="1606" t="s">
        <v>18</v>
      </c>
      <c r="C112" s="1728" t="s">
        <v>94</v>
      </c>
      <c r="D112" s="1679" t="s">
        <v>109</v>
      </c>
      <c r="E112" s="1615" t="s">
        <v>110</v>
      </c>
      <c r="F112" s="1754">
        <v>1</v>
      </c>
      <c r="G112" s="23" t="s">
        <v>30</v>
      </c>
      <c r="H112" s="191"/>
      <c r="I112" s="215"/>
      <c r="J112" s="215"/>
      <c r="K112" s="216"/>
      <c r="L112" s="49"/>
      <c r="M112" s="215"/>
      <c r="N112" s="215"/>
      <c r="O112" s="23"/>
      <c r="P112" s="14"/>
      <c r="Q112" s="14"/>
      <c r="R112" s="1641" t="s">
        <v>45</v>
      </c>
      <c r="S112" s="1687">
        <v>1</v>
      </c>
      <c r="T112" s="1687">
        <v>1</v>
      </c>
      <c r="U112" s="1693"/>
      <c r="V112" s="219"/>
      <c r="W112" s="219"/>
    </row>
    <row r="113" spans="1:23" s="48" customFormat="1" ht="15" customHeight="1" x14ac:dyDescent="0.2">
      <c r="A113" s="1604"/>
      <c r="B113" s="1607"/>
      <c r="C113" s="1728"/>
      <c r="D113" s="1680"/>
      <c r="E113" s="1616"/>
      <c r="F113" s="1755"/>
      <c r="G113" s="13" t="s">
        <v>73</v>
      </c>
      <c r="H113" s="191"/>
      <c r="I113" s="215"/>
      <c r="J113" s="215"/>
      <c r="K113" s="216"/>
      <c r="L113" s="49"/>
      <c r="M113" s="215"/>
      <c r="N113" s="215"/>
      <c r="O113" s="23"/>
      <c r="P113" s="14"/>
      <c r="Q113" s="14"/>
      <c r="R113" s="1641"/>
      <c r="S113" s="1687"/>
      <c r="T113" s="1687"/>
      <c r="U113" s="1693"/>
      <c r="V113" s="219"/>
      <c r="W113" s="219"/>
    </row>
    <row r="114" spans="1:23" s="48" customFormat="1" ht="15" customHeight="1" x14ac:dyDescent="0.2">
      <c r="A114" s="1604"/>
      <c r="B114" s="1607"/>
      <c r="C114" s="1728"/>
      <c r="D114" s="1680"/>
      <c r="E114" s="1616"/>
      <c r="F114" s="1755"/>
      <c r="G114" s="15" t="s">
        <v>59</v>
      </c>
      <c r="H114" s="16">
        <f>+H115+H116</f>
        <v>0</v>
      </c>
      <c r="I114" s="17"/>
      <c r="J114" s="17"/>
      <c r="K114" s="19">
        <f t="shared" ref="K114:Q114" si="27">+K115+K116</f>
        <v>0</v>
      </c>
      <c r="L114" s="50">
        <f t="shared" si="27"/>
        <v>0</v>
      </c>
      <c r="M114" s="17">
        <f t="shared" si="27"/>
        <v>0</v>
      </c>
      <c r="N114" s="17">
        <f t="shared" si="27"/>
        <v>0</v>
      </c>
      <c r="O114" s="18">
        <f t="shared" si="27"/>
        <v>0</v>
      </c>
      <c r="P114" s="20">
        <f t="shared" si="27"/>
        <v>0</v>
      </c>
      <c r="Q114" s="20">
        <f t="shared" si="27"/>
        <v>0</v>
      </c>
      <c r="R114" s="1641"/>
      <c r="S114" s="1687"/>
      <c r="T114" s="1687"/>
      <c r="U114" s="1693"/>
      <c r="V114" s="219"/>
      <c r="W114" s="219"/>
    </row>
    <row r="115" spans="1:23" s="48" customFormat="1" ht="15" customHeight="1" x14ac:dyDescent="0.2">
      <c r="A115" s="1604"/>
      <c r="B115" s="1607"/>
      <c r="C115" s="1728"/>
      <c r="D115" s="1680"/>
      <c r="E115" s="1616"/>
      <c r="F115" s="1755"/>
      <c r="G115" s="101" t="s">
        <v>130</v>
      </c>
      <c r="H115" s="123"/>
      <c r="I115" s="124"/>
      <c r="J115" s="124"/>
      <c r="K115" s="125"/>
      <c r="L115" s="126"/>
      <c r="M115" s="124"/>
      <c r="N115" s="124"/>
      <c r="O115" s="122"/>
      <c r="P115" s="127"/>
      <c r="Q115" s="127"/>
      <c r="R115" s="1641"/>
      <c r="S115" s="1687"/>
      <c r="T115" s="1687"/>
      <c r="U115" s="1693"/>
      <c r="V115" s="219"/>
      <c r="W115" s="219"/>
    </row>
    <row r="116" spans="1:23" s="48" customFormat="1" ht="15" customHeight="1" x14ac:dyDescent="0.2">
      <c r="A116" s="1604"/>
      <c r="B116" s="1607"/>
      <c r="C116" s="1728"/>
      <c r="D116" s="1680"/>
      <c r="E116" s="1616"/>
      <c r="F116" s="1755"/>
      <c r="G116" s="101" t="s">
        <v>71</v>
      </c>
      <c r="H116" s="123"/>
      <c r="I116" s="124"/>
      <c r="J116" s="124"/>
      <c r="K116" s="125"/>
      <c r="L116" s="126"/>
      <c r="M116" s="124"/>
      <c r="N116" s="124"/>
      <c r="O116" s="122"/>
      <c r="P116" s="157"/>
      <c r="Q116" s="127"/>
      <c r="R116" s="1641"/>
      <c r="S116" s="1687"/>
      <c r="T116" s="1687">
        <f>SUM(T112)</f>
        <v>1</v>
      </c>
      <c r="U116" s="1693">
        <f>SUM(U112)</f>
        <v>0</v>
      </c>
      <c r="V116" s="219"/>
      <c r="W116" s="219"/>
    </row>
    <row r="117" spans="1:23" s="48" customFormat="1" ht="15" customHeight="1" x14ac:dyDescent="0.2">
      <c r="A117" s="1604"/>
      <c r="B117" s="1607"/>
      <c r="C117" s="1728"/>
      <c r="D117" s="1680"/>
      <c r="E117" s="1616"/>
      <c r="F117" s="1755"/>
      <c r="G117" s="13" t="s">
        <v>36</v>
      </c>
      <c r="H117" s="191">
        <v>43.1</v>
      </c>
      <c r="I117" s="215"/>
      <c r="J117" s="215"/>
      <c r="K117" s="216">
        <v>43.1</v>
      </c>
      <c r="L117" s="49">
        <v>43.1</v>
      </c>
      <c r="M117" s="215"/>
      <c r="N117" s="215"/>
      <c r="O117" s="23">
        <v>43.1</v>
      </c>
      <c r="P117" s="14"/>
      <c r="Q117" s="14"/>
      <c r="R117" s="1641" t="s">
        <v>65</v>
      </c>
      <c r="S117" s="1687"/>
      <c r="T117" s="1687"/>
      <c r="U117" s="1693"/>
      <c r="V117" s="219"/>
      <c r="W117" s="219"/>
    </row>
    <row r="118" spans="1:23" s="48" customFormat="1" ht="15" customHeight="1" x14ac:dyDescent="0.2">
      <c r="A118" s="1604"/>
      <c r="B118" s="1607"/>
      <c r="C118" s="1728"/>
      <c r="D118" s="1680"/>
      <c r="E118" s="1616"/>
      <c r="F118" s="1755"/>
      <c r="G118" s="13" t="s">
        <v>72</v>
      </c>
      <c r="H118" s="191"/>
      <c r="I118" s="215"/>
      <c r="J118" s="215"/>
      <c r="K118" s="216"/>
      <c r="L118" s="49"/>
      <c r="M118" s="215"/>
      <c r="N118" s="215"/>
      <c r="O118" s="23"/>
      <c r="P118" s="14"/>
      <c r="Q118" s="14"/>
      <c r="R118" s="1641"/>
      <c r="S118" s="1687"/>
      <c r="T118" s="1687"/>
      <c r="U118" s="1693"/>
      <c r="V118" s="219"/>
      <c r="W118" s="219"/>
    </row>
    <row r="119" spans="1:23" ht="15" customHeight="1" x14ac:dyDescent="0.2">
      <c r="A119" s="1749"/>
      <c r="B119" s="1725"/>
      <c r="C119" s="1699"/>
      <c r="D119" s="1722"/>
      <c r="E119" s="1639"/>
      <c r="F119" s="1744"/>
      <c r="G119" s="24" t="s">
        <v>13</v>
      </c>
      <c r="H119" s="28">
        <f>+H112+H113+H114+H117+H118</f>
        <v>43.1</v>
      </c>
      <c r="I119" s="26">
        <f t="shared" ref="I119:Q119" si="28">+I112+I113+I114+I117+I118</f>
        <v>0</v>
      </c>
      <c r="J119" s="26">
        <f t="shared" si="28"/>
        <v>0</v>
      </c>
      <c r="K119" s="31">
        <f t="shared" si="28"/>
        <v>43.1</v>
      </c>
      <c r="L119" s="27">
        <f t="shared" si="28"/>
        <v>43.1</v>
      </c>
      <c r="M119" s="26">
        <f t="shared" si="28"/>
        <v>0</v>
      </c>
      <c r="N119" s="26">
        <f t="shared" si="28"/>
        <v>0</v>
      </c>
      <c r="O119" s="30">
        <f t="shared" si="28"/>
        <v>43.1</v>
      </c>
      <c r="P119" s="32">
        <f t="shared" si="28"/>
        <v>0</v>
      </c>
      <c r="Q119" s="32">
        <f t="shared" si="28"/>
        <v>0</v>
      </c>
      <c r="R119" s="1641"/>
      <c r="S119" s="26">
        <f>SUM(S117)</f>
        <v>0</v>
      </c>
      <c r="T119" s="26">
        <f>SUM(T117)</f>
        <v>0</v>
      </c>
      <c r="U119" s="31"/>
    </row>
    <row r="120" spans="1:23" s="52" customFormat="1" ht="15" customHeight="1" x14ac:dyDescent="0.2">
      <c r="A120" s="1716" t="s">
        <v>17</v>
      </c>
      <c r="B120" s="1606" t="s">
        <v>18</v>
      </c>
      <c r="C120" s="1699" t="s">
        <v>96</v>
      </c>
      <c r="D120" s="1679" t="s">
        <v>137</v>
      </c>
      <c r="E120" s="1752" t="s">
        <v>56</v>
      </c>
      <c r="F120" s="1754">
        <v>1</v>
      </c>
      <c r="G120" s="23" t="s">
        <v>30</v>
      </c>
      <c r="H120" s="191"/>
      <c r="I120" s="215"/>
      <c r="J120" s="215"/>
      <c r="K120" s="216"/>
      <c r="L120" s="49"/>
      <c r="M120" s="215"/>
      <c r="N120" s="215"/>
      <c r="O120" s="23"/>
      <c r="P120" s="14">
        <f>ROUND(219829.7/1000,1)</f>
        <v>219.8</v>
      </c>
      <c r="Q120" s="14">
        <f>ROUND(329744.56/1000,1)</f>
        <v>329.7</v>
      </c>
      <c r="R120" s="1641" t="s">
        <v>120</v>
      </c>
      <c r="S120" s="1687"/>
      <c r="T120" s="1687"/>
      <c r="U120" s="1693"/>
      <c r="V120" s="51"/>
      <c r="W120" s="51"/>
    </row>
    <row r="121" spans="1:23" s="52" customFormat="1" ht="15" customHeight="1" x14ac:dyDescent="0.2">
      <c r="A121" s="1717"/>
      <c r="B121" s="1607"/>
      <c r="C121" s="1728"/>
      <c r="D121" s="1680"/>
      <c r="E121" s="1753"/>
      <c r="F121" s="1755"/>
      <c r="G121" s="13" t="s">
        <v>73</v>
      </c>
      <c r="H121" s="191"/>
      <c r="I121" s="215"/>
      <c r="J121" s="215"/>
      <c r="K121" s="216"/>
      <c r="L121" s="49"/>
      <c r="M121" s="215"/>
      <c r="N121" s="215"/>
      <c r="O121" s="23"/>
      <c r="P121" s="14">
        <f>ROUND(19396.74/1000,1)</f>
        <v>19.399999999999999</v>
      </c>
      <c r="Q121" s="14">
        <f>ROUND(29095.1/1000,1)</f>
        <v>29.1</v>
      </c>
      <c r="R121" s="1641"/>
      <c r="S121" s="1687"/>
      <c r="T121" s="1687"/>
      <c r="U121" s="1693"/>
      <c r="V121" s="51"/>
      <c r="W121" s="51"/>
    </row>
    <row r="122" spans="1:23" s="52" customFormat="1" ht="15" customHeight="1" x14ac:dyDescent="0.2">
      <c r="A122" s="1717"/>
      <c r="B122" s="1607"/>
      <c r="C122" s="1728"/>
      <c r="D122" s="1680"/>
      <c r="E122" s="1753"/>
      <c r="F122" s="1755"/>
      <c r="G122" s="15" t="s">
        <v>59</v>
      </c>
      <c r="H122" s="16">
        <f>+H123+H124</f>
        <v>0</v>
      </c>
      <c r="I122" s="17">
        <f t="shared" ref="I122:Q122" si="29">+I123+I124</f>
        <v>0</v>
      </c>
      <c r="J122" s="17">
        <f t="shared" si="29"/>
        <v>0</v>
      </c>
      <c r="K122" s="19">
        <f t="shared" si="29"/>
        <v>0</v>
      </c>
      <c r="L122" s="50">
        <f t="shared" si="29"/>
        <v>0</v>
      </c>
      <c r="M122" s="17">
        <f t="shared" si="29"/>
        <v>0</v>
      </c>
      <c r="N122" s="17">
        <f t="shared" si="29"/>
        <v>0</v>
      </c>
      <c r="O122" s="18">
        <f t="shared" si="29"/>
        <v>0</v>
      </c>
      <c r="P122" s="20">
        <f t="shared" si="29"/>
        <v>19.399999999999999</v>
      </c>
      <c r="Q122" s="20">
        <f t="shared" si="29"/>
        <v>29.1</v>
      </c>
      <c r="R122" s="1641"/>
      <c r="S122" s="1687"/>
      <c r="T122" s="1687"/>
      <c r="U122" s="1693"/>
      <c r="V122" s="51"/>
      <c r="W122" s="51"/>
    </row>
    <row r="123" spans="1:23" s="52" customFormat="1" ht="15" customHeight="1" x14ac:dyDescent="0.2">
      <c r="A123" s="1717"/>
      <c r="B123" s="1607"/>
      <c r="C123" s="1728"/>
      <c r="D123" s="1680"/>
      <c r="E123" s="1753"/>
      <c r="F123" s="1755"/>
      <c r="G123" s="101" t="s">
        <v>130</v>
      </c>
      <c r="H123" s="123"/>
      <c r="I123" s="124"/>
      <c r="J123" s="124"/>
      <c r="K123" s="125"/>
      <c r="L123" s="126"/>
      <c r="M123" s="124"/>
      <c r="N123" s="124"/>
      <c r="O123" s="122"/>
      <c r="P123" s="127"/>
      <c r="Q123" s="127"/>
      <c r="R123" s="1641"/>
      <c r="S123" s="1687"/>
      <c r="T123" s="1687"/>
      <c r="U123" s="1693"/>
      <c r="V123" s="53"/>
      <c r="W123" s="51"/>
    </row>
    <row r="124" spans="1:23" s="52" customFormat="1" ht="15" customHeight="1" x14ac:dyDescent="0.2">
      <c r="A124" s="1717"/>
      <c r="B124" s="1607"/>
      <c r="C124" s="1728"/>
      <c r="D124" s="1680"/>
      <c r="E124" s="1753"/>
      <c r="F124" s="1755"/>
      <c r="G124" s="101" t="s">
        <v>71</v>
      </c>
      <c r="H124" s="123"/>
      <c r="I124" s="124"/>
      <c r="J124" s="124"/>
      <c r="K124" s="125"/>
      <c r="L124" s="126"/>
      <c r="M124" s="124"/>
      <c r="N124" s="124"/>
      <c r="O124" s="122"/>
      <c r="P124" s="157">
        <f>ROUND(19396.74/1000,1)</f>
        <v>19.399999999999999</v>
      </c>
      <c r="Q124" s="157">
        <f>ROUND(29095.1/1000,1)</f>
        <v>29.1</v>
      </c>
      <c r="R124" s="1641"/>
      <c r="S124" s="1687"/>
      <c r="T124" s="1687"/>
      <c r="U124" s="1693"/>
      <c r="V124" s="51"/>
      <c r="W124" s="51"/>
    </row>
    <row r="125" spans="1:23" s="52" customFormat="1" ht="15" customHeight="1" x14ac:dyDescent="0.2">
      <c r="A125" s="1717"/>
      <c r="B125" s="1607"/>
      <c r="C125" s="1728"/>
      <c r="D125" s="1680"/>
      <c r="E125" s="1753"/>
      <c r="F125" s="1755"/>
      <c r="G125" s="13" t="s">
        <v>36</v>
      </c>
      <c r="H125" s="191"/>
      <c r="I125" s="215"/>
      <c r="J125" s="215"/>
      <c r="K125" s="216"/>
      <c r="L125" s="49"/>
      <c r="M125" s="215"/>
      <c r="N125" s="215"/>
      <c r="O125" s="23"/>
      <c r="P125" s="14"/>
      <c r="Q125" s="14"/>
      <c r="R125" s="1641"/>
      <c r="S125" s="1687"/>
      <c r="T125" s="1687"/>
      <c r="U125" s="1693"/>
      <c r="V125" s="51"/>
      <c r="W125" s="51"/>
    </row>
    <row r="126" spans="1:23" s="52" customFormat="1" ht="15" customHeight="1" x14ac:dyDescent="0.2">
      <c r="A126" s="1717"/>
      <c r="B126" s="1607"/>
      <c r="C126" s="1728"/>
      <c r="D126" s="1680"/>
      <c r="E126" s="1753"/>
      <c r="F126" s="1755"/>
      <c r="G126" s="13" t="s">
        <v>72</v>
      </c>
      <c r="H126" s="191"/>
      <c r="I126" s="215"/>
      <c r="J126" s="215"/>
      <c r="K126" s="216"/>
      <c r="L126" s="49"/>
      <c r="M126" s="215"/>
      <c r="N126" s="215"/>
      <c r="O126" s="23"/>
      <c r="P126" s="14"/>
      <c r="Q126" s="14"/>
      <c r="R126" s="1641"/>
      <c r="S126" s="1687"/>
      <c r="T126" s="1687"/>
      <c r="U126" s="1693"/>
      <c r="V126" s="51"/>
      <c r="W126" s="51"/>
    </row>
    <row r="127" spans="1:23" s="52" customFormat="1" ht="15" customHeight="1" x14ac:dyDescent="0.2">
      <c r="A127" s="1718"/>
      <c r="B127" s="1725"/>
      <c r="C127" s="1699"/>
      <c r="D127" s="1722"/>
      <c r="E127" s="1760"/>
      <c r="F127" s="1744"/>
      <c r="G127" s="24" t="s">
        <v>13</v>
      </c>
      <c r="H127" s="28">
        <f>+H120+H121+H122+H125+H126</f>
        <v>0</v>
      </c>
      <c r="I127" s="26">
        <f t="shared" ref="I127:Q127" si="30">+I120+I121+I122+I125+I126</f>
        <v>0</v>
      </c>
      <c r="J127" s="26">
        <f t="shared" si="30"/>
        <v>0</v>
      </c>
      <c r="K127" s="31">
        <f t="shared" si="30"/>
        <v>0</v>
      </c>
      <c r="L127" s="27">
        <f t="shared" si="30"/>
        <v>0</v>
      </c>
      <c r="M127" s="26">
        <f t="shared" si="30"/>
        <v>0</v>
      </c>
      <c r="N127" s="26">
        <f t="shared" si="30"/>
        <v>0</v>
      </c>
      <c r="O127" s="30">
        <f t="shared" si="30"/>
        <v>0</v>
      </c>
      <c r="P127" s="32">
        <f t="shared" si="30"/>
        <v>258.60000000000002</v>
      </c>
      <c r="Q127" s="32">
        <f t="shared" si="30"/>
        <v>387.90000000000003</v>
      </c>
      <c r="R127" s="1641"/>
      <c r="S127" s="26">
        <f>+S120</f>
        <v>0</v>
      </c>
      <c r="T127" s="26">
        <f>+T120</f>
        <v>0</v>
      </c>
      <c r="U127" s="31"/>
      <c r="V127" s="51"/>
      <c r="W127" s="51"/>
    </row>
    <row r="128" spans="1:23" s="52" customFormat="1" ht="15" customHeight="1" x14ac:dyDescent="0.2">
      <c r="A128" s="1603" t="s">
        <v>17</v>
      </c>
      <c r="B128" s="1606" t="s">
        <v>18</v>
      </c>
      <c r="C128" s="1728" t="s">
        <v>97</v>
      </c>
      <c r="D128" s="1679" t="s">
        <v>81</v>
      </c>
      <c r="E128" s="1752" t="s">
        <v>56</v>
      </c>
      <c r="F128" s="1754">
        <v>1</v>
      </c>
      <c r="G128" s="23" t="s">
        <v>30</v>
      </c>
      <c r="H128" s="191"/>
      <c r="I128" s="215"/>
      <c r="J128" s="215"/>
      <c r="K128" s="216"/>
      <c r="L128" s="49"/>
      <c r="M128" s="215"/>
      <c r="N128" s="215"/>
      <c r="O128" s="23"/>
      <c r="P128" s="14"/>
      <c r="Q128" s="14"/>
      <c r="R128" s="1641" t="s">
        <v>46</v>
      </c>
      <c r="S128" s="1687"/>
      <c r="T128" s="1687"/>
      <c r="U128" s="1693"/>
      <c r="V128" s="51"/>
      <c r="W128" s="51"/>
    </row>
    <row r="129" spans="1:23" s="52" customFormat="1" ht="15" customHeight="1" x14ac:dyDescent="0.2">
      <c r="A129" s="1604"/>
      <c r="B129" s="1607"/>
      <c r="C129" s="1728"/>
      <c r="D129" s="1680"/>
      <c r="E129" s="1753"/>
      <c r="F129" s="1755"/>
      <c r="G129" s="13" t="s">
        <v>73</v>
      </c>
      <c r="H129" s="191"/>
      <c r="I129" s="215"/>
      <c r="J129" s="215"/>
      <c r="K129" s="216"/>
      <c r="L129" s="49"/>
      <c r="M129" s="215"/>
      <c r="N129" s="215"/>
      <c r="O129" s="23"/>
      <c r="P129" s="14"/>
      <c r="Q129" s="14"/>
      <c r="R129" s="1641"/>
      <c r="S129" s="1687"/>
      <c r="T129" s="1687"/>
      <c r="U129" s="1693"/>
      <c r="V129" s="51"/>
      <c r="W129" s="51"/>
    </row>
    <row r="130" spans="1:23" s="52" customFormat="1" ht="15" customHeight="1" x14ac:dyDescent="0.2">
      <c r="A130" s="1604"/>
      <c r="B130" s="1607"/>
      <c r="C130" s="1728"/>
      <c r="D130" s="1680"/>
      <c r="E130" s="1753"/>
      <c r="F130" s="1755"/>
      <c r="G130" s="15" t="s">
        <v>59</v>
      </c>
      <c r="H130" s="16">
        <f>+H131+H132</f>
        <v>0</v>
      </c>
      <c r="I130" s="17">
        <f t="shared" ref="I130:Q130" si="31">+I131+I132</f>
        <v>0</v>
      </c>
      <c r="J130" s="17">
        <f t="shared" si="31"/>
        <v>0</v>
      </c>
      <c r="K130" s="19">
        <f t="shared" si="31"/>
        <v>0</v>
      </c>
      <c r="L130" s="50">
        <f t="shared" si="31"/>
        <v>0</v>
      </c>
      <c r="M130" s="17">
        <f t="shared" si="31"/>
        <v>0</v>
      </c>
      <c r="N130" s="17">
        <f t="shared" si="31"/>
        <v>0</v>
      </c>
      <c r="O130" s="18">
        <f t="shared" si="31"/>
        <v>0</v>
      </c>
      <c r="P130" s="20">
        <f t="shared" si="31"/>
        <v>15.6</v>
      </c>
      <c r="Q130" s="20">
        <f t="shared" si="31"/>
        <v>23.5</v>
      </c>
      <c r="R130" s="1641"/>
      <c r="S130" s="1687"/>
      <c r="T130" s="1687"/>
      <c r="U130" s="1693"/>
      <c r="V130" s="51"/>
      <c r="W130" s="51"/>
    </row>
    <row r="131" spans="1:23" s="52" customFormat="1" ht="15" customHeight="1" x14ac:dyDescent="0.2">
      <c r="A131" s="1604"/>
      <c r="B131" s="1607"/>
      <c r="C131" s="1728"/>
      <c r="D131" s="1680"/>
      <c r="E131" s="1753"/>
      <c r="F131" s="1755"/>
      <c r="G131" s="101" t="s">
        <v>130</v>
      </c>
      <c r="H131" s="123"/>
      <c r="I131" s="124"/>
      <c r="J131" s="124"/>
      <c r="K131" s="125"/>
      <c r="L131" s="126"/>
      <c r="M131" s="124"/>
      <c r="N131" s="124"/>
      <c r="O131" s="122"/>
      <c r="P131" s="127"/>
      <c r="Q131" s="127"/>
      <c r="R131" s="1641"/>
      <c r="S131" s="1687"/>
      <c r="T131" s="1687"/>
      <c r="U131" s="1693"/>
      <c r="V131" s="51"/>
      <c r="W131" s="51"/>
    </row>
    <row r="132" spans="1:23" s="52" customFormat="1" ht="15" customHeight="1" x14ac:dyDescent="0.2">
      <c r="A132" s="1604"/>
      <c r="B132" s="1607"/>
      <c r="C132" s="1728"/>
      <c r="D132" s="1680"/>
      <c r="E132" s="1753"/>
      <c r="F132" s="1755"/>
      <c r="G132" s="101" t="s">
        <v>71</v>
      </c>
      <c r="H132" s="123"/>
      <c r="I132" s="124"/>
      <c r="J132" s="124"/>
      <c r="K132" s="125"/>
      <c r="L132" s="126"/>
      <c r="M132" s="124"/>
      <c r="N132" s="124"/>
      <c r="O132" s="122"/>
      <c r="P132" s="157">
        <f>ROUND(15639.48/1000,1)</f>
        <v>15.6</v>
      </c>
      <c r="Q132" s="157">
        <f>ROUND(23459.22/1000,1)</f>
        <v>23.5</v>
      </c>
      <c r="R132" s="1641"/>
      <c r="S132" s="1687"/>
      <c r="T132" s="1687"/>
      <c r="U132" s="1693"/>
      <c r="V132" s="51"/>
      <c r="W132" s="51"/>
    </row>
    <row r="133" spans="1:23" s="52" customFormat="1" ht="15" customHeight="1" x14ac:dyDescent="0.2">
      <c r="A133" s="1604"/>
      <c r="B133" s="1607"/>
      <c r="C133" s="1728"/>
      <c r="D133" s="1680"/>
      <c r="E133" s="1753"/>
      <c r="F133" s="1755"/>
      <c r="G133" s="13" t="s">
        <v>36</v>
      </c>
      <c r="H133" s="191"/>
      <c r="I133" s="215"/>
      <c r="J133" s="215"/>
      <c r="K133" s="216"/>
      <c r="L133" s="49"/>
      <c r="M133" s="215"/>
      <c r="N133" s="215"/>
      <c r="O133" s="23"/>
      <c r="P133" s="157">
        <f>ROUND(192886.93/1000,1)</f>
        <v>192.9</v>
      </c>
      <c r="Q133" s="157">
        <f>ROUND(289330.4/1000,1)</f>
        <v>289.3</v>
      </c>
      <c r="R133" s="1641"/>
      <c r="S133" s="1687"/>
      <c r="T133" s="1687"/>
      <c r="U133" s="1693"/>
      <c r="V133" s="51"/>
      <c r="W133" s="51"/>
    </row>
    <row r="134" spans="1:23" s="52" customFormat="1" ht="15" customHeight="1" x14ac:dyDescent="0.2">
      <c r="A134" s="1604"/>
      <c r="B134" s="1607"/>
      <c r="C134" s="1728"/>
      <c r="D134" s="1680"/>
      <c r="E134" s="1753"/>
      <c r="F134" s="1755"/>
      <c r="G134" s="13" t="s">
        <v>72</v>
      </c>
      <c r="H134" s="191"/>
      <c r="I134" s="215"/>
      <c r="J134" s="215"/>
      <c r="K134" s="216"/>
      <c r="L134" s="49"/>
      <c r="M134" s="215"/>
      <c r="N134" s="215"/>
      <c r="O134" s="23"/>
      <c r="P134" s="14"/>
      <c r="Q134" s="14"/>
      <c r="R134" s="1641"/>
      <c r="S134" s="1687"/>
      <c r="T134" s="1687"/>
      <c r="U134" s="1693"/>
      <c r="V134" s="51"/>
      <c r="W134" s="51"/>
    </row>
    <row r="135" spans="1:23" s="52" customFormat="1" ht="15" customHeight="1" x14ac:dyDescent="0.2">
      <c r="A135" s="1604"/>
      <c r="B135" s="1607"/>
      <c r="C135" s="1699"/>
      <c r="D135" s="1680"/>
      <c r="E135" s="1753"/>
      <c r="F135" s="1744"/>
      <c r="G135" s="24" t="s">
        <v>13</v>
      </c>
      <c r="H135" s="28">
        <f>+H128+H129+H130+H133+H134</f>
        <v>0</v>
      </c>
      <c r="I135" s="26">
        <f t="shared" ref="I135:Q135" si="32">+I128+I129+I130+I133+I134</f>
        <v>0</v>
      </c>
      <c r="J135" s="26">
        <f t="shared" si="32"/>
        <v>0</v>
      </c>
      <c r="K135" s="31">
        <f t="shared" si="32"/>
        <v>0</v>
      </c>
      <c r="L135" s="27">
        <f t="shared" si="32"/>
        <v>0</v>
      </c>
      <c r="M135" s="26">
        <f t="shared" si="32"/>
        <v>0</v>
      </c>
      <c r="N135" s="26">
        <f t="shared" si="32"/>
        <v>0</v>
      </c>
      <c r="O135" s="30">
        <f t="shared" si="32"/>
        <v>0</v>
      </c>
      <c r="P135" s="32">
        <f t="shared" si="32"/>
        <v>208.5</v>
      </c>
      <c r="Q135" s="32">
        <f t="shared" si="32"/>
        <v>312.8</v>
      </c>
      <c r="R135" s="1641"/>
      <c r="S135" s="26">
        <f>+S128</f>
        <v>0</v>
      </c>
      <c r="T135" s="26">
        <f>+T128</f>
        <v>0</v>
      </c>
      <c r="U135" s="31"/>
      <c r="V135" s="51"/>
      <c r="W135" s="51"/>
    </row>
    <row r="136" spans="1:23" s="4" customFormat="1" ht="15" customHeight="1" x14ac:dyDescent="0.2">
      <c r="A136" s="1603" t="s">
        <v>17</v>
      </c>
      <c r="B136" s="1606" t="s">
        <v>18</v>
      </c>
      <c r="C136" s="1699" t="s">
        <v>98</v>
      </c>
      <c r="D136" s="1679" t="s">
        <v>105</v>
      </c>
      <c r="E136" s="1752" t="s">
        <v>56</v>
      </c>
      <c r="F136" s="1754">
        <v>1</v>
      </c>
      <c r="G136" s="23" t="s">
        <v>30</v>
      </c>
      <c r="H136" s="191"/>
      <c r="I136" s="215"/>
      <c r="J136" s="215"/>
      <c r="K136" s="216"/>
      <c r="L136" s="49"/>
      <c r="M136" s="215"/>
      <c r="N136" s="215"/>
      <c r="O136" s="23"/>
      <c r="P136" s="14">
        <v>145.69999999999999</v>
      </c>
      <c r="Q136" s="14">
        <v>28.7</v>
      </c>
      <c r="R136" s="1641" t="s">
        <v>120</v>
      </c>
      <c r="S136" s="1687"/>
      <c r="T136" s="1687"/>
      <c r="U136" s="1756" t="s">
        <v>591</v>
      </c>
      <c r="V136" s="33"/>
      <c r="W136" s="33"/>
    </row>
    <row r="137" spans="1:23" ht="15" customHeight="1" x14ac:dyDescent="0.2">
      <c r="A137" s="1604"/>
      <c r="B137" s="1607"/>
      <c r="C137" s="1699"/>
      <c r="D137" s="1680"/>
      <c r="E137" s="1753"/>
      <c r="F137" s="1755"/>
      <c r="G137" s="13" t="s">
        <v>73</v>
      </c>
      <c r="H137" s="191"/>
      <c r="I137" s="215"/>
      <c r="J137" s="215"/>
      <c r="K137" s="216"/>
      <c r="L137" s="49"/>
      <c r="M137" s="215"/>
      <c r="N137" s="215"/>
      <c r="O137" s="23"/>
      <c r="P137" s="14"/>
      <c r="Q137" s="14"/>
      <c r="R137" s="1641"/>
      <c r="S137" s="1687"/>
      <c r="T137" s="1687"/>
      <c r="U137" s="1757"/>
    </row>
    <row r="138" spans="1:23" ht="15" customHeight="1" x14ac:dyDescent="0.2">
      <c r="A138" s="1604"/>
      <c r="B138" s="1607"/>
      <c r="C138" s="1699"/>
      <c r="D138" s="1680"/>
      <c r="E138" s="1753"/>
      <c r="F138" s="1755"/>
      <c r="G138" s="15" t="s">
        <v>59</v>
      </c>
      <c r="H138" s="16">
        <f>+H139+H140</f>
        <v>0</v>
      </c>
      <c r="I138" s="17">
        <f t="shared" ref="I138:K138" si="33">+I139+I140</f>
        <v>0</v>
      </c>
      <c r="J138" s="17">
        <f t="shared" si="33"/>
        <v>0</v>
      </c>
      <c r="K138" s="19">
        <f t="shared" si="33"/>
        <v>0</v>
      </c>
      <c r="L138" s="50">
        <f>+L139+L140</f>
        <v>0</v>
      </c>
      <c r="M138" s="17">
        <f t="shared" ref="M138:Q138" si="34">+M139+M140</f>
        <v>0</v>
      </c>
      <c r="N138" s="17">
        <f t="shared" si="34"/>
        <v>0</v>
      </c>
      <c r="O138" s="18">
        <f t="shared" si="34"/>
        <v>0</v>
      </c>
      <c r="P138" s="20">
        <f t="shared" si="34"/>
        <v>25.7</v>
      </c>
      <c r="Q138" s="20">
        <f t="shared" si="34"/>
        <v>5.0999999999999996</v>
      </c>
      <c r="R138" s="1641"/>
      <c r="S138" s="1687"/>
      <c r="T138" s="1687"/>
      <c r="U138" s="1757"/>
    </row>
    <row r="139" spans="1:23" ht="15" customHeight="1" x14ac:dyDescent="0.2">
      <c r="A139" s="1604"/>
      <c r="B139" s="1607"/>
      <c r="C139" s="1699"/>
      <c r="D139" s="1680"/>
      <c r="E139" s="1753"/>
      <c r="F139" s="1755"/>
      <c r="G139" s="101" t="s">
        <v>130</v>
      </c>
      <c r="H139" s="141"/>
      <c r="I139" s="142"/>
      <c r="J139" s="142"/>
      <c r="K139" s="143"/>
      <c r="L139" s="155"/>
      <c r="M139" s="142"/>
      <c r="N139" s="142"/>
      <c r="O139" s="156"/>
      <c r="P139" s="157">
        <v>25.7</v>
      </c>
      <c r="Q139" s="157">
        <v>5.0999999999999996</v>
      </c>
      <c r="R139" s="1641"/>
      <c r="S139" s="1687"/>
      <c r="T139" s="1687"/>
      <c r="U139" s="1757"/>
    </row>
    <row r="140" spans="1:23" ht="15" customHeight="1" x14ac:dyDescent="0.2">
      <c r="A140" s="1604"/>
      <c r="B140" s="1607"/>
      <c r="C140" s="1699"/>
      <c r="D140" s="1680"/>
      <c r="E140" s="1753"/>
      <c r="F140" s="1755"/>
      <c r="G140" s="101" t="s">
        <v>71</v>
      </c>
      <c r="H140" s="123"/>
      <c r="I140" s="124"/>
      <c r="J140" s="124"/>
      <c r="K140" s="125"/>
      <c r="L140" s="126"/>
      <c r="M140" s="124"/>
      <c r="N140" s="124"/>
      <c r="O140" s="122"/>
      <c r="P140" s="127"/>
      <c r="Q140" s="127"/>
      <c r="R140" s="1641"/>
      <c r="S140" s="1687"/>
      <c r="T140" s="1687"/>
      <c r="U140" s="1757"/>
    </row>
    <row r="141" spans="1:23" ht="15" customHeight="1" x14ac:dyDescent="0.2">
      <c r="A141" s="1604"/>
      <c r="B141" s="1607"/>
      <c r="C141" s="1699"/>
      <c r="D141" s="1680"/>
      <c r="E141" s="1753"/>
      <c r="F141" s="1755"/>
      <c r="G141" s="13" t="s">
        <v>36</v>
      </c>
      <c r="H141" s="191"/>
      <c r="I141" s="215"/>
      <c r="J141" s="215"/>
      <c r="K141" s="216"/>
      <c r="L141" s="49"/>
      <c r="M141" s="215"/>
      <c r="N141" s="215"/>
      <c r="O141" s="23"/>
      <c r="P141" s="14"/>
      <c r="Q141" s="14"/>
      <c r="R141" s="1641"/>
      <c r="S141" s="1687"/>
      <c r="T141" s="1687"/>
      <c r="U141" s="1757"/>
    </row>
    <row r="142" spans="1:23" ht="15" customHeight="1" x14ac:dyDescent="0.2">
      <c r="A142" s="1604"/>
      <c r="B142" s="1607"/>
      <c r="C142" s="1699"/>
      <c r="D142" s="1680"/>
      <c r="E142" s="1753"/>
      <c r="F142" s="1755"/>
      <c r="G142" s="13" t="s">
        <v>72</v>
      </c>
      <c r="H142" s="191"/>
      <c r="I142" s="215"/>
      <c r="J142" s="215"/>
      <c r="K142" s="216"/>
      <c r="L142" s="49"/>
      <c r="M142" s="215"/>
      <c r="N142" s="215"/>
      <c r="O142" s="23"/>
      <c r="P142" s="14"/>
      <c r="Q142" s="14"/>
      <c r="R142" s="1641"/>
      <c r="S142" s="1687"/>
      <c r="T142" s="1687"/>
      <c r="U142" s="1757"/>
    </row>
    <row r="143" spans="1:23" ht="15" customHeight="1" x14ac:dyDescent="0.2">
      <c r="A143" s="1604"/>
      <c r="B143" s="1607"/>
      <c r="C143" s="1699"/>
      <c r="D143" s="1680"/>
      <c r="E143" s="1753"/>
      <c r="F143" s="1744"/>
      <c r="G143" s="24" t="s">
        <v>13</v>
      </c>
      <c r="H143" s="28">
        <f>+H136+H137+H138+H141+H142</f>
        <v>0</v>
      </c>
      <c r="I143" s="26">
        <f t="shared" ref="I143:Q143" si="35">+I136+I137+I138+I141+I142</f>
        <v>0</v>
      </c>
      <c r="J143" s="26">
        <f t="shared" si="35"/>
        <v>0</v>
      </c>
      <c r="K143" s="31">
        <f t="shared" si="35"/>
        <v>0</v>
      </c>
      <c r="L143" s="27">
        <f t="shared" si="35"/>
        <v>0</v>
      </c>
      <c r="M143" s="26">
        <f t="shared" si="35"/>
        <v>0</v>
      </c>
      <c r="N143" s="26">
        <f t="shared" si="35"/>
        <v>0</v>
      </c>
      <c r="O143" s="30">
        <f t="shared" si="35"/>
        <v>0</v>
      </c>
      <c r="P143" s="32">
        <f t="shared" si="35"/>
        <v>171.39999999999998</v>
      </c>
      <c r="Q143" s="32">
        <f t="shared" si="35"/>
        <v>33.799999999999997</v>
      </c>
      <c r="R143" s="1641"/>
      <c r="S143" s="26">
        <f>+S136</f>
        <v>0</v>
      </c>
      <c r="T143" s="26">
        <f>+T136</f>
        <v>0</v>
      </c>
      <c r="U143" s="31"/>
    </row>
    <row r="144" spans="1:23" s="4" customFormat="1" ht="15" customHeight="1" x14ac:dyDescent="0.2">
      <c r="A144" s="1603" t="s">
        <v>17</v>
      </c>
      <c r="B144" s="1606" t="s">
        <v>18</v>
      </c>
      <c r="C144" s="1699" t="s">
        <v>111</v>
      </c>
      <c r="D144" s="1679" t="s">
        <v>103</v>
      </c>
      <c r="E144" s="1752" t="s">
        <v>56</v>
      </c>
      <c r="F144" s="1754">
        <v>1</v>
      </c>
      <c r="G144" s="23" t="s">
        <v>30</v>
      </c>
      <c r="H144" s="191"/>
      <c r="I144" s="215"/>
      <c r="J144" s="215"/>
      <c r="K144" s="216"/>
      <c r="L144" s="49"/>
      <c r="M144" s="215"/>
      <c r="N144" s="215"/>
      <c r="O144" s="23"/>
      <c r="P144" s="14">
        <f>ROUND(50828.47/1000,1)</f>
        <v>50.8</v>
      </c>
      <c r="Q144" s="14">
        <f>ROUND(50828.47/1000,1)</f>
        <v>50.8</v>
      </c>
      <c r="R144" s="1641" t="s">
        <v>132</v>
      </c>
      <c r="S144" s="1687"/>
      <c r="T144" s="1687"/>
      <c r="U144" s="1756" t="s">
        <v>201</v>
      </c>
      <c r="V144" s="33"/>
      <c r="W144" s="33"/>
    </row>
    <row r="145" spans="1:23" ht="15" customHeight="1" x14ac:dyDescent="0.2">
      <c r="A145" s="1604"/>
      <c r="B145" s="1607"/>
      <c r="C145" s="1728"/>
      <c r="D145" s="1680"/>
      <c r="E145" s="1753"/>
      <c r="F145" s="1755"/>
      <c r="G145" s="13" t="s">
        <v>73</v>
      </c>
      <c r="H145" s="191"/>
      <c r="I145" s="215"/>
      <c r="J145" s="215"/>
      <c r="K145" s="216"/>
      <c r="L145" s="49"/>
      <c r="M145" s="215"/>
      <c r="N145" s="215"/>
      <c r="O145" s="23"/>
      <c r="P145" s="14">
        <f>ROUND(4484.86/1000,1)</f>
        <v>4.5</v>
      </c>
      <c r="Q145" s="14">
        <f>ROUND(4484.87/1000,1)</f>
        <v>4.5</v>
      </c>
      <c r="R145" s="1641"/>
      <c r="S145" s="1687"/>
      <c r="T145" s="1687"/>
      <c r="U145" s="1757"/>
    </row>
    <row r="146" spans="1:23" ht="15" customHeight="1" x14ac:dyDescent="0.2">
      <c r="A146" s="1604"/>
      <c r="B146" s="1607"/>
      <c r="C146" s="1728"/>
      <c r="D146" s="1680"/>
      <c r="E146" s="1753"/>
      <c r="F146" s="1755"/>
      <c r="G146" s="15" t="s">
        <v>59</v>
      </c>
      <c r="H146" s="16">
        <f>+H147+H148</f>
        <v>0</v>
      </c>
      <c r="I146" s="17">
        <f t="shared" ref="I146:Q146" si="36">+I147+I148</f>
        <v>0</v>
      </c>
      <c r="J146" s="17">
        <f t="shared" si="36"/>
        <v>0</v>
      </c>
      <c r="K146" s="19">
        <f t="shared" si="36"/>
        <v>0</v>
      </c>
      <c r="L146" s="50">
        <f t="shared" si="36"/>
        <v>0</v>
      </c>
      <c r="M146" s="17">
        <f t="shared" si="36"/>
        <v>0</v>
      </c>
      <c r="N146" s="17">
        <f t="shared" si="36"/>
        <v>0</v>
      </c>
      <c r="O146" s="18">
        <f t="shared" si="36"/>
        <v>0</v>
      </c>
      <c r="P146" s="20">
        <f t="shared" si="36"/>
        <v>4.5</v>
      </c>
      <c r="Q146" s="20">
        <f t="shared" si="36"/>
        <v>4.5</v>
      </c>
      <c r="R146" s="1641"/>
      <c r="S146" s="1687"/>
      <c r="T146" s="1687"/>
      <c r="U146" s="1757"/>
    </row>
    <row r="147" spans="1:23" ht="15" customHeight="1" x14ac:dyDescent="0.2">
      <c r="A147" s="1604"/>
      <c r="B147" s="1607"/>
      <c r="C147" s="1728"/>
      <c r="D147" s="1680"/>
      <c r="E147" s="1753"/>
      <c r="F147" s="1755"/>
      <c r="G147" s="101" t="s">
        <v>130</v>
      </c>
      <c r="H147" s="123"/>
      <c r="I147" s="124"/>
      <c r="J147" s="124"/>
      <c r="K147" s="125"/>
      <c r="L147" s="126"/>
      <c r="M147" s="124"/>
      <c r="N147" s="124"/>
      <c r="O147" s="122"/>
      <c r="P147" s="157"/>
      <c r="Q147" s="157"/>
      <c r="R147" s="1641"/>
      <c r="S147" s="1687"/>
      <c r="T147" s="1687"/>
      <c r="U147" s="1757"/>
    </row>
    <row r="148" spans="1:23" ht="15" customHeight="1" x14ac:dyDescent="0.2">
      <c r="A148" s="1604"/>
      <c r="B148" s="1607"/>
      <c r="C148" s="1728"/>
      <c r="D148" s="1680"/>
      <c r="E148" s="1753"/>
      <c r="F148" s="1755"/>
      <c r="G148" s="101" t="s">
        <v>71</v>
      </c>
      <c r="H148" s="123"/>
      <c r="I148" s="124"/>
      <c r="J148" s="124"/>
      <c r="K148" s="125"/>
      <c r="L148" s="126"/>
      <c r="M148" s="124"/>
      <c r="N148" s="124"/>
      <c r="O148" s="122"/>
      <c r="P148" s="157">
        <f>ROUND(4484.86/1000,1)</f>
        <v>4.5</v>
      </c>
      <c r="Q148" s="157">
        <f>ROUND(4484.87/1000,1)</f>
        <v>4.5</v>
      </c>
      <c r="R148" s="1641"/>
      <c r="S148" s="1687"/>
      <c r="T148" s="1687"/>
      <c r="U148" s="1757"/>
    </row>
    <row r="149" spans="1:23" ht="15" customHeight="1" x14ac:dyDescent="0.2">
      <c r="A149" s="1604"/>
      <c r="B149" s="1607"/>
      <c r="C149" s="1728"/>
      <c r="D149" s="1680"/>
      <c r="E149" s="1753"/>
      <c r="F149" s="1755"/>
      <c r="G149" s="13" t="s">
        <v>36</v>
      </c>
      <c r="H149" s="191"/>
      <c r="I149" s="215"/>
      <c r="J149" s="215"/>
      <c r="K149" s="216"/>
      <c r="L149" s="49"/>
      <c r="M149" s="215"/>
      <c r="N149" s="215"/>
      <c r="O149" s="23"/>
      <c r="P149" s="14"/>
      <c r="Q149" s="14"/>
      <c r="R149" s="1641"/>
      <c r="S149" s="1687"/>
      <c r="T149" s="1687"/>
      <c r="U149" s="1757"/>
    </row>
    <row r="150" spans="1:23" ht="15" customHeight="1" x14ac:dyDescent="0.2">
      <c r="A150" s="1604"/>
      <c r="B150" s="1607"/>
      <c r="C150" s="1728"/>
      <c r="D150" s="1680"/>
      <c r="E150" s="1753"/>
      <c r="F150" s="1755"/>
      <c r="G150" s="13" t="s">
        <v>72</v>
      </c>
      <c r="H150" s="191"/>
      <c r="I150" s="215"/>
      <c r="J150" s="215"/>
      <c r="K150" s="216"/>
      <c r="L150" s="49"/>
      <c r="M150" s="215"/>
      <c r="N150" s="215"/>
      <c r="O150" s="23"/>
      <c r="P150" s="14"/>
      <c r="Q150" s="14"/>
      <c r="R150" s="1641"/>
      <c r="S150" s="1687"/>
      <c r="T150" s="1687"/>
      <c r="U150" s="1757"/>
    </row>
    <row r="151" spans="1:23" ht="15" customHeight="1" x14ac:dyDescent="0.2">
      <c r="A151" s="1749"/>
      <c r="B151" s="1725"/>
      <c r="C151" s="1699"/>
      <c r="D151" s="1722"/>
      <c r="E151" s="1760"/>
      <c r="F151" s="1744"/>
      <c r="G151" s="24" t="s">
        <v>13</v>
      </c>
      <c r="H151" s="28">
        <f>+H144+H145+H146+H149+H150</f>
        <v>0</v>
      </c>
      <c r="I151" s="26">
        <f t="shared" ref="I151:Q151" si="37">+I144+I145+I146+I149+I150</f>
        <v>0</v>
      </c>
      <c r="J151" s="26">
        <f t="shared" si="37"/>
        <v>0</v>
      </c>
      <c r="K151" s="31">
        <f t="shared" si="37"/>
        <v>0</v>
      </c>
      <c r="L151" s="27">
        <f t="shared" si="37"/>
        <v>0</v>
      </c>
      <c r="M151" s="26">
        <f t="shared" si="37"/>
        <v>0</v>
      </c>
      <c r="N151" s="26">
        <f t="shared" si="37"/>
        <v>0</v>
      </c>
      <c r="O151" s="30">
        <f t="shared" si="37"/>
        <v>0</v>
      </c>
      <c r="P151" s="32">
        <f t="shared" si="37"/>
        <v>59.8</v>
      </c>
      <c r="Q151" s="32">
        <f t="shared" si="37"/>
        <v>59.8</v>
      </c>
      <c r="R151" s="1641"/>
      <c r="S151" s="26">
        <f>+S144</f>
        <v>0</v>
      </c>
      <c r="T151" s="26">
        <f>+T144</f>
        <v>0</v>
      </c>
      <c r="U151" s="31"/>
    </row>
    <row r="152" spans="1:23" s="4" customFormat="1" ht="15" customHeight="1" x14ac:dyDescent="0.2">
      <c r="A152" s="1603" t="s">
        <v>17</v>
      </c>
      <c r="B152" s="1606" t="s">
        <v>18</v>
      </c>
      <c r="C152" s="1699" t="s">
        <v>112</v>
      </c>
      <c r="D152" s="1679" t="s">
        <v>104</v>
      </c>
      <c r="E152" s="1752" t="s">
        <v>56</v>
      </c>
      <c r="F152" s="1754">
        <v>1</v>
      </c>
      <c r="G152" s="23" t="s">
        <v>30</v>
      </c>
      <c r="H152" s="191"/>
      <c r="I152" s="215"/>
      <c r="J152" s="215"/>
      <c r="K152" s="216"/>
      <c r="L152" s="49"/>
      <c r="M152" s="215"/>
      <c r="N152" s="215"/>
      <c r="O152" s="23"/>
      <c r="P152" s="14">
        <f>ROUND(98615.5/1000,1)</f>
        <v>98.6</v>
      </c>
      <c r="Q152" s="14">
        <f>ROUND(98615.5/1000,1)</f>
        <v>98.6</v>
      </c>
      <c r="R152" s="1641" t="s">
        <v>131</v>
      </c>
      <c r="S152" s="1687"/>
      <c r="T152" s="1687"/>
      <c r="U152" s="1756" t="s">
        <v>201</v>
      </c>
      <c r="V152" s="33"/>
      <c r="W152" s="33"/>
    </row>
    <row r="153" spans="1:23" ht="15" customHeight="1" x14ac:dyDescent="0.2">
      <c r="A153" s="1604"/>
      <c r="B153" s="1607"/>
      <c r="C153" s="1699"/>
      <c r="D153" s="1680"/>
      <c r="E153" s="1753"/>
      <c r="F153" s="1755"/>
      <c r="G153" s="13" t="s">
        <v>73</v>
      </c>
      <c r="H153" s="191"/>
      <c r="I153" s="215"/>
      <c r="J153" s="215"/>
      <c r="K153" s="216"/>
      <c r="L153" s="49"/>
      <c r="M153" s="215"/>
      <c r="N153" s="215"/>
      <c r="O153" s="23"/>
      <c r="P153" s="14">
        <f>ROUND(8701.36/1000,1)</f>
        <v>8.6999999999999993</v>
      </c>
      <c r="Q153" s="14">
        <f>ROUND(8701.36/1000,1)</f>
        <v>8.6999999999999993</v>
      </c>
      <c r="R153" s="1641"/>
      <c r="S153" s="1687"/>
      <c r="T153" s="1687"/>
      <c r="U153" s="1757"/>
    </row>
    <row r="154" spans="1:23" ht="15" customHeight="1" x14ac:dyDescent="0.2">
      <c r="A154" s="1604"/>
      <c r="B154" s="1607"/>
      <c r="C154" s="1699"/>
      <c r="D154" s="1680"/>
      <c r="E154" s="1753"/>
      <c r="F154" s="1755"/>
      <c r="G154" s="15" t="s">
        <v>59</v>
      </c>
      <c r="H154" s="16">
        <f>+H155+H156</f>
        <v>0</v>
      </c>
      <c r="I154" s="17">
        <f t="shared" ref="I154:Q154" si="38">+I155+I156</f>
        <v>0</v>
      </c>
      <c r="J154" s="17">
        <f t="shared" si="38"/>
        <v>0</v>
      </c>
      <c r="K154" s="19">
        <f t="shared" si="38"/>
        <v>0</v>
      </c>
      <c r="L154" s="50">
        <f t="shared" si="38"/>
        <v>0</v>
      </c>
      <c r="M154" s="17">
        <f t="shared" si="38"/>
        <v>0</v>
      </c>
      <c r="N154" s="17">
        <f t="shared" si="38"/>
        <v>0</v>
      </c>
      <c r="O154" s="18">
        <f t="shared" si="38"/>
        <v>0</v>
      </c>
      <c r="P154" s="20">
        <f t="shared" si="38"/>
        <v>8.6999999999999993</v>
      </c>
      <c r="Q154" s="20">
        <f t="shared" si="38"/>
        <v>8.6999999999999993</v>
      </c>
      <c r="R154" s="1641"/>
      <c r="S154" s="1687"/>
      <c r="T154" s="1687"/>
      <c r="U154" s="1757"/>
    </row>
    <row r="155" spans="1:23" ht="15" customHeight="1" x14ac:dyDescent="0.2">
      <c r="A155" s="1604"/>
      <c r="B155" s="1607"/>
      <c r="C155" s="1699"/>
      <c r="D155" s="1680"/>
      <c r="E155" s="1753"/>
      <c r="F155" s="1755"/>
      <c r="G155" s="101" t="s">
        <v>130</v>
      </c>
      <c r="H155" s="123"/>
      <c r="I155" s="124"/>
      <c r="J155" s="124"/>
      <c r="K155" s="125"/>
      <c r="L155" s="126"/>
      <c r="M155" s="124"/>
      <c r="N155" s="124"/>
      <c r="O155" s="122"/>
      <c r="P155" s="127"/>
      <c r="Q155" s="127"/>
      <c r="R155" s="1641"/>
      <c r="S155" s="1687"/>
      <c r="T155" s="1687"/>
      <c r="U155" s="1757"/>
    </row>
    <row r="156" spans="1:23" ht="15" customHeight="1" x14ac:dyDescent="0.2">
      <c r="A156" s="1604"/>
      <c r="B156" s="1607"/>
      <c r="C156" s="1699"/>
      <c r="D156" s="1680"/>
      <c r="E156" s="1753"/>
      <c r="F156" s="1755"/>
      <c r="G156" s="101" t="s">
        <v>71</v>
      </c>
      <c r="H156" s="123"/>
      <c r="I156" s="124"/>
      <c r="J156" s="124"/>
      <c r="K156" s="125"/>
      <c r="L156" s="126"/>
      <c r="M156" s="124"/>
      <c r="N156" s="124"/>
      <c r="O156" s="122"/>
      <c r="P156" s="157">
        <f>ROUND(8701.37/1000,1)</f>
        <v>8.6999999999999993</v>
      </c>
      <c r="Q156" s="157">
        <f>ROUND(8701.37/1000,1)</f>
        <v>8.6999999999999993</v>
      </c>
      <c r="R156" s="1641"/>
      <c r="S156" s="1687"/>
      <c r="T156" s="1687"/>
      <c r="U156" s="1757"/>
    </row>
    <row r="157" spans="1:23" ht="15" customHeight="1" x14ac:dyDescent="0.2">
      <c r="A157" s="1604"/>
      <c r="B157" s="1607"/>
      <c r="C157" s="1699"/>
      <c r="D157" s="1680"/>
      <c r="E157" s="1753"/>
      <c r="F157" s="1755"/>
      <c r="G157" s="13" t="s">
        <v>36</v>
      </c>
      <c r="H157" s="191"/>
      <c r="I157" s="215"/>
      <c r="J157" s="215"/>
      <c r="K157" s="216"/>
      <c r="L157" s="49"/>
      <c r="M157" s="215"/>
      <c r="N157" s="215"/>
      <c r="O157" s="23"/>
      <c r="P157" s="14"/>
      <c r="Q157" s="14"/>
      <c r="R157" s="1641"/>
      <c r="S157" s="1687"/>
      <c r="T157" s="1687"/>
      <c r="U157" s="1757"/>
    </row>
    <row r="158" spans="1:23" ht="15" customHeight="1" x14ac:dyDescent="0.2">
      <c r="A158" s="1604"/>
      <c r="B158" s="1607"/>
      <c r="C158" s="1699"/>
      <c r="D158" s="1680"/>
      <c r="E158" s="1753"/>
      <c r="F158" s="1755"/>
      <c r="G158" s="13" t="s">
        <v>72</v>
      </c>
      <c r="H158" s="191"/>
      <c r="I158" s="215"/>
      <c r="J158" s="215"/>
      <c r="K158" s="216"/>
      <c r="L158" s="49"/>
      <c r="M158" s="215"/>
      <c r="N158" s="215"/>
      <c r="O158" s="23"/>
      <c r="P158" s="14"/>
      <c r="Q158" s="14"/>
      <c r="R158" s="1641"/>
      <c r="S158" s="1687"/>
      <c r="T158" s="1687"/>
      <c r="U158" s="1757"/>
    </row>
    <row r="159" spans="1:23" ht="15" customHeight="1" x14ac:dyDescent="0.2">
      <c r="A159" s="1604"/>
      <c r="B159" s="1607"/>
      <c r="C159" s="1699"/>
      <c r="D159" s="1680"/>
      <c r="E159" s="1753"/>
      <c r="F159" s="1744"/>
      <c r="G159" s="24" t="s">
        <v>13</v>
      </c>
      <c r="H159" s="28">
        <f>+H152+H153+H154+H157+H158</f>
        <v>0</v>
      </c>
      <c r="I159" s="26">
        <f t="shared" ref="I159:Q159" si="39">+I152+I153+I154+I157+I158</f>
        <v>0</v>
      </c>
      <c r="J159" s="26">
        <f t="shared" si="39"/>
        <v>0</v>
      </c>
      <c r="K159" s="31">
        <f t="shared" si="39"/>
        <v>0</v>
      </c>
      <c r="L159" s="27">
        <f t="shared" si="39"/>
        <v>0</v>
      </c>
      <c r="M159" s="26">
        <f t="shared" si="39"/>
        <v>0</v>
      </c>
      <c r="N159" s="26">
        <f t="shared" si="39"/>
        <v>0</v>
      </c>
      <c r="O159" s="30">
        <f t="shared" si="39"/>
        <v>0</v>
      </c>
      <c r="P159" s="32">
        <f t="shared" si="39"/>
        <v>116</v>
      </c>
      <c r="Q159" s="32">
        <f t="shared" si="39"/>
        <v>116</v>
      </c>
      <c r="R159" s="1641"/>
      <c r="S159" s="26">
        <f>+S152</f>
        <v>0</v>
      </c>
      <c r="T159" s="26">
        <f>+T152</f>
        <v>0</v>
      </c>
      <c r="U159" s="31"/>
    </row>
    <row r="160" spans="1:23" s="4" customFormat="1" ht="15" customHeight="1" x14ac:dyDescent="0.2">
      <c r="A160" s="1716" t="s">
        <v>17</v>
      </c>
      <c r="B160" s="1606" t="s">
        <v>18</v>
      </c>
      <c r="C160" s="1699" t="s">
        <v>113</v>
      </c>
      <c r="D160" s="1679" t="s">
        <v>107</v>
      </c>
      <c r="E160" s="1752" t="s">
        <v>56</v>
      </c>
      <c r="F160" s="1754">
        <v>1</v>
      </c>
      <c r="G160" s="23" t="s">
        <v>30</v>
      </c>
      <c r="H160" s="191"/>
      <c r="I160" s="215"/>
      <c r="J160" s="215"/>
      <c r="K160" s="216"/>
      <c r="L160" s="49"/>
      <c r="M160" s="215"/>
      <c r="N160" s="215"/>
      <c r="O160" s="23"/>
      <c r="P160" s="14">
        <v>53.7</v>
      </c>
      <c r="Q160" s="14">
        <v>53.8</v>
      </c>
      <c r="R160" s="1641" t="s">
        <v>121</v>
      </c>
      <c r="S160" s="1687"/>
      <c r="T160" s="1687"/>
      <c r="U160" s="1756" t="s">
        <v>592</v>
      </c>
      <c r="V160" s="33"/>
      <c r="W160" s="33"/>
    </row>
    <row r="161" spans="1:23" ht="15" customHeight="1" x14ac:dyDescent="0.2">
      <c r="A161" s="1717"/>
      <c r="B161" s="1607"/>
      <c r="C161" s="1699"/>
      <c r="D161" s="1680"/>
      <c r="E161" s="1753"/>
      <c r="F161" s="1755"/>
      <c r="G161" s="13" t="s">
        <v>73</v>
      </c>
      <c r="H161" s="191"/>
      <c r="I161" s="215"/>
      <c r="J161" s="215"/>
      <c r="K161" s="216"/>
      <c r="L161" s="49"/>
      <c r="M161" s="215"/>
      <c r="N161" s="215"/>
      <c r="O161" s="23"/>
      <c r="P161" s="14"/>
      <c r="Q161" s="14"/>
      <c r="R161" s="1641"/>
      <c r="S161" s="1687"/>
      <c r="T161" s="1687"/>
      <c r="U161" s="1757"/>
    </row>
    <row r="162" spans="1:23" ht="15" customHeight="1" x14ac:dyDescent="0.2">
      <c r="A162" s="1717"/>
      <c r="B162" s="1607"/>
      <c r="C162" s="1699"/>
      <c r="D162" s="1680"/>
      <c r="E162" s="1753"/>
      <c r="F162" s="1755"/>
      <c r="G162" s="15" t="s">
        <v>59</v>
      </c>
      <c r="H162" s="16">
        <f>+H163+H164</f>
        <v>0</v>
      </c>
      <c r="I162" s="17">
        <f t="shared" ref="I162:Q162" si="40">+I163+I164</f>
        <v>0</v>
      </c>
      <c r="J162" s="17">
        <f t="shared" si="40"/>
        <v>0</v>
      </c>
      <c r="K162" s="19">
        <f t="shared" si="40"/>
        <v>0</v>
      </c>
      <c r="L162" s="50">
        <f t="shared" si="40"/>
        <v>0</v>
      </c>
      <c r="M162" s="17">
        <f t="shared" si="40"/>
        <v>0</v>
      </c>
      <c r="N162" s="17">
        <f t="shared" si="40"/>
        <v>0</v>
      </c>
      <c r="O162" s="18">
        <f t="shared" si="40"/>
        <v>0</v>
      </c>
      <c r="P162" s="20">
        <f t="shared" si="40"/>
        <v>9.4</v>
      </c>
      <c r="Q162" s="20">
        <f t="shared" si="40"/>
        <v>9.5</v>
      </c>
      <c r="R162" s="1641"/>
      <c r="S162" s="1687"/>
      <c r="T162" s="1687"/>
      <c r="U162" s="1757"/>
    </row>
    <row r="163" spans="1:23" ht="15" customHeight="1" x14ac:dyDescent="0.2">
      <c r="A163" s="1717"/>
      <c r="B163" s="1607"/>
      <c r="C163" s="1699"/>
      <c r="D163" s="1680"/>
      <c r="E163" s="1753"/>
      <c r="F163" s="1755"/>
      <c r="G163" s="101" t="s">
        <v>130</v>
      </c>
      <c r="H163" s="123"/>
      <c r="I163" s="124"/>
      <c r="J163" s="124"/>
      <c r="K163" s="125"/>
      <c r="L163" s="155"/>
      <c r="M163" s="142"/>
      <c r="N163" s="142"/>
      <c r="O163" s="156"/>
      <c r="P163" s="157">
        <v>9.4</v>
      </c>
      <c r="Q163" s="157">
        <v>9.5</v>
      </c>
      <c r="R163" s="1641"/>
      <c r="S163" s="1687"/>
      <c r="T163" s="1687"/>
      <c r="U163" s="1757"/>
      <c r="V163" s="218"/>
    </row>
    <row r="164" spans="1:23" ht="15" customHeight="1" x14ac:dyDescent="0.2">
      <c r="A164" s="1717"/>
      <c r="B164" s="1607"/>
      <c r="C164" s="1699"/>
      <c r="D164" s="1680"/>
      <c r="E164" s="1753"/>
      <c r="F164" s="1755"/>
      <c r="G164" s="101" t="s">
        <v>71</v>
      </c>
      <c r="H164" s="123"/>
      <c r="I164" s="124"/>
      <c r="J164" s="124"/>
      <c r="K164" s="125"/>
      <c r="L164" s="126"/>
      <c r="M164" s="124"/>
      <c r="N164" s="124"/>
      <c r="O164" s="122"/>
      <c r="P164" s="127"/>
      <c r="Q164" s="127"/>
      <c r="R164" s="1641"/>
      <c r="S164" s="1687"/>
      <c r="T164" s="1687"/>
      <c r="U164" s="1757"/>
    </row>
    <row r="165" spans="1:23" ht="15" customHeight="1" x14ac:dyDescent="0.2">
      <c r="A165" s="1717"/>
      <c r="B165" s="1607"/>
      <c r="C165" s="1699"/>
      <c r="D165" s="1680"/>
      <c r="E165" s="1753"/>
      <c r="F165" s="1755"/>
      <c r="G165" s="13" t="s">
        <v>36</v>
      </c>
      <c r="H165" s="191"/>
      <c r="I165" s="215"/>
      <c r="J165" s="215"/>
      <c r="K165" s="216"/>
      <c r="L165" s="49"/>
      <c r="M165" s="215"/>
      <c r="N165" s="215"/>
      <c r="O165" s="23"/>
      <c r="P165" s="14"/>
      <c r="Q165" s="14"/>
      <c r="R165" s="1641"/>
      <c r="S165" s="1687"/>
      <c r="T165" s="1687"/>
      <c r="U165" s="1757"/>
    </row>
    <row r="166" spans="1:23" ht="15" customHeight="1" x14ac:dyDescent="0.2">
      <c r="A166" s="1717"/>
      <c r="B166" s="1607"/>
      <c r="C166" s="1699"/>
      <c r="D166" s="1680"/>
      <c r="E166" s="1753"/>
      <c r="F166" s="1755"/>
      <c r="G166" s="13" t="s">
        <v>72</v>
      </c>
      <c r="H166" s="191"/>
      <c r="I166" s="215"/>
      <c r="J166" s="215"/>
      <c r="K166" s="216"/>
      <c r="L166" s="49"/>
      <c r="M166" s="215"/>
      <c r="N166" s="215"/>
      <c r="O166" s="23"/>
      <c r="P166" s="14"/>
      <c r="Q166" s="14"/>
      <c r="R166" s="1641"/>
      <c r="S166" s="1687"/>
      <c r="T166" s="1687"/>
      <c r="U166" s="1757"/>
    </row>
    <row r="167" spans="1:23" ht="17.25" customHeight="1" x14ac:dyDescent="0.2">
      <c r="A167" s="1718"/>
      <c r="B167" s="1725"/>
      <c r="C167" s="1699"/>
      <c r="D167" s="1722"/>
      <c r="E167" s="1760"/>
      <c r="F167" s="1744"/>
      <c r="G167" s="24" t="s">
        <v>13</v>
      </c>
      <c r="H167" s="28">
        <f>+H160+H161+H162+H165+H166</f>
        <v>0</v>
      </c>
      <c r="I167" s="26">
        <f t="shared" ref="I167:Q167" si="41">+I160+I161+I162+I165+I166</f>
        <v>0</v>
      </c>
      <c r="J167" s="26">
        <f t="shared" si="41"/>
        <v>0</v>
      </c>
      <c r="K167" s="31">
        <f t="shared" si="41"/>
        <v>0</v>
      </c>
      <c r="L167" s="27">
        <f t="shared" si="41"/>
        <v>0</v>
      </c>
      <c r="M167" s="26">
        <f t="shared" si="41"/>
        <v>0</v>
      </c>
      <c r="N167" s="26">
        <f t="shared" si="41"/>
        <v>0</v>
      </c>
      <c r="O167" s="30">
        <f t="shared" si="41"/>
        <v>0</v>
      </c>
      <c r="P167" s="32">
        <f t="shared" si="41"/>
        <v>63.1</v>
      </c>
      <c r="Q167" s="32">
        <f t="shared" si="41"/>
        <v>63.3</v>
      </c>
      <c r="R167" s="1641"/>
      <c r="S167" s="26">
        <f>+S160</f>
        <v>0</v>
      </c>
      <c r="T167" s="26">
        <f>+T160</f>
        <v>0</v>
      </c>
      <c r="U167" s="31"/>
    </row>
    <row r="168" spans="1:23" s="4" customFormat="1" ht="14.85" customHeight="1" x14ac:dyDescent="0.2">
      <c r="A168" s="1603" t="s">
        <v>17</v>
      </c>
      <c r="B168" s="1606" t="s">
        <v>18</v>
      </c>
      <c r="C168" s="1699" t="s">
        <v>122</v>
      </c>
      <c r="D168" s="1679" t="s">
        <v>140</v>
      </c>
      <c r="E168" s="1752" t="s">
        <v>133</v>
      </c>
      <c r="F168" s="1754">
        <v>1</v>
      </c>
      <c r="G168" s="23" t="s">
        <v>30</v>
      </c>
      <c r="H168" s="191"/>
      <c r="I168" s="215"/>
      <c r="J168" s="215"/>
      <c r="K168" s="216"/>
      <c r="L168" s="49"/>
      <c r="M168" s="215"/>
      <c r="N168" s="215"/>
      <c r="O168" s="23"/>
      <c r="P168" s="14">
        <f>ROUND(637500/1000,1)</f>
        <v>637.5</v>
      </c>
      <c r="Q168" s="14">
        <f>ROUND(637500/1000,1)</f>
        <v>637.5</v>
      </c>
      <c r="R168" s="1641" t="s">
        <v>141</v>
      </c>
      <c r="S168" s="1687"/>
      <c r="T168" s="1687"/>
      <c r="U168" s="1756" t="s">
        <v>593</v>
      </c>
      <c r="V168" s="33"/>
      <c r="W168" s="33"/>
    </row>
    <row r="169" spans="1:23" ht="14.85" customHeight="1" x14ac:dyDescent="0.2">
      <c r="A169" s="1604"/>
      <c r="B169" s="1607"/>
      <c r="C169" s="1699"/>
      <c r="D169" s="1680"/>
      <c r="E169" s="1753"/>
      <c r="F169" s="1755"/>
      <c r="G169" s="13" t="s">
        <v>73</v>
      </c>
      <c r="H169" s="191"/>
      <c r="I169" s="215"/>
      <c r="J169" s="215"/>
      <c r="K169" s="216"/>
      <c r="L169" s="49"/>
      <c r="M169" s="215"/>
      <c r="N169" s="215"/>
      <c r="O169" s="23"/>
      <c r="P169" s="14"/>
      <c r="Q169" s="14"/>
      <c r="R169" s="1641"/>
      <c r="S169" s="1687"/>
      <c r="T169" s="1687"/>
      <c r="U169" s="1757"/>
    </row>
    <row r="170" spans="1:23" ht="14.85" customHeight="1" x14ac:dyDescent="0.2">
      <c r="A170" s="1604"/>
      <c r="B170" s="1607"/>
      <c r="C170" s="1699"/>
      <c r="D170" s="1680"/>
      <c r="E170" s="1753"/>
      <c r="F170" s="1755"/>
      <c r="G170" s="15" t="s">
        <v>59</v>
      </c>
      <c r="H170" s="16">
        <f>+H171+H172</f>
        <v>0</v>
      </c>
      <c r="I170" s="17">
        <f t="shared" ref="I170:K170" si="42">+I171+I172</f>
        <v>0</v>
      </c>
      <c r="J170" s="17">
        <f t="shared" si="42"/>
        <v>0</v>
      </c>
      <c r="K170" s="19">
        <f t="shared" si="42"/>
        <v>0</v>
      </c>
      <c r="L170" s="50">
        <f>+L171+L172</f>
        <v>0</v>
      </c>
      <c r="M170" s="17">
        <f t="shared" ref="M170:Q170" si="43">+M171+M172</f>
        <v>0</v>
      </c>
      <c r="N170" s="17">
        <f t="shared" si="43"/>
        <v>0</v>
      </c>
      <c r="O170" s="18">
        <f t="shared" si="43"/>
        <v>0</v>
      </c>
      <c r="P170" s="20">
        <f t="shared" si="43"/>
        <v>765</v>
      </c>
      <c r="Q170" s="20">
        <f t="shared" si="43"/>
        <v>0</v>
      </c>
      <c r="R170" s="1641"/>
      <c r="S170" s="1687"/>
      <c r="T170" s="1687"/>
      <c r="U170" s="1757"/>
    </row>
    <row r="171" spans="1:23" ht="14.85" customHeight="1" x14ac:dyDescent="0.2">
      <c r="A171" s="1604"/>
      <c r="B171" s="1607"/>
      <c r="C171" s="1699"/>
      <c r="D171" s="1680"/>
      <c r="E171" s="1753"/>
      <c r="F171" s="1755"/>
      <c r="G171" s="101" t="s">
        <v>130</v>
      </c>
      <c r="H171" s="141"/>
      <c r="I171" s="142"/>
      <c r="J171" s="142"/>
      <c r="K171" s="143"/>
      <c r="L171" s="155"/>
      <c r="M171" s="142"/>
      <c r="N171" s="142"/>
      <c r="O171" s="156"/>
      <c r="P171" s="157">
        <f>900-135</f>
        <v>765</v>
      </c>
      <c r="Q171" s="127"/>
      <c r="R171" s="1641"/>
      <c r="S171" s="1687"/>
      <c r="T171" s="1687"/>
      <c r="U171" s="1757"/>
    </row>
    <row r="172" spans="1:23" ht="14.85" customHeight="1" x14ac:dyDescent="0.2">
      <c r="A172" s="1604"/>
      <c r="B172" s="1607"/>
      <c r="C172" s="1699"/>
      <c r="D172" s="1680"/>
      <c r="E172" s="1753"/>
      <c r="F172" s="1755"/>
      <c r="G172" s="101" t="s">
        <v>71</v>
      </c>
      <c r="H172" s="123"/>
      <c r="I172" s="124"/>
      <c r="J172" s="124"/>
      <c r="K172" s="125"/>
      <c r="L172" s="126"/>
      <c r="M172" s="124"/>
      <c r="N172" s="124"/>
      <c r="O172" s="122"/>
      <c r="P172" s="127"/>
      <c r="Q172" s="127"/>
      <c r="R172" s="1641"/>
      <c r="S172" s="1687"/>
      <c r="T172" s="1687"/>
      <c r="U172" s="1757"/>
    </row>
    <row r="173" spans="1:23" ht="14.85" customHeight="1" x14ac:dyDescent="0.2">
      <c r="A173" s="1604"/>
      <c r="B173" s="1607"/>
      <c r="C173" s="1699"/>
      <c r="D173" s="1680"/>
      <c r="E173" s="1753"/>
      <c r="F173" s="1755"/>
      <c r="G173" s="13" t="s">
        <v>36</v>
      </c>
      <c r="H173" s="191"/>
      <c r="I173" s="215"/>
      <c r="J173" s="215"/>
      <c r="K173" s="216"/>
      <c r="L173" s="49"/>
      <c r="M173" s="215"/>
      <c r="N173" s="215"/>
      <c r="O173" s="23"/>
      <c r="P173" s="14"/>
      <c r="Q173" s="14"/>
      <c r="R173" s="1641"/>
      <c r="S173" s="1687"/>
      <c r="T173" s="1687"/>
      <c r="U173" s="1757"/>
    </row>
    <row r="174" spans="1:23" ht="14.85" customHeight="1" x14ac:dyDescent="0.2">
      <c r="A174" s="1604"/>
      <c r="B174" s="1607"/>
      <c r="C174" s="1699"/>
      <c r="D174" s="1680"/>
      <c r="E174" s="1753"/>
      <c r="F174" s="1755"/>
      <c r="G174" s="13" t="s">
        <v>72</v>
      </c>
      <c r="H174" s="191"/>
      <c r="I174" s="215"/>
      <c r="J174" s="215"/>
      <c r="K174" s="216"/>
      <c r="L174" s="49"/>
      <c r="M174" s="215"/>
      <c r="N174" s="215"/>
      <c r="O174" s="23"/>
      <c r="P174" s="14"/>
      <c r="Q174" s="14"/>
      <c r="R174" s="1641"/>
      <c r="S174" s="1687"/>
      <c r="T174" s="1687"/>
      <c r="U174" s="1757"/>
    </row>
    <row r="175" spans="1:23" ht="14.85" customHeight="1" thickBot="1" x14ac:dyDescent="0.25">
      <c r="A175" s="1604"/>
      <c r="B175" s="1607"/>
      <c r="C175" s="1699"/>
      <c r="D175" s="1680"/>
      <c r="E175" s="1753"/>
      <c r="F175" s="1744"/>
      <c r="G175" s="108" t="s">
        <v>13</v>
      </c>
      <c r="H175" s="39">
        <f>+H168+H169+H170+H173+H174</f>
        <v>0</v>
      </c>
      <c r="I175" s="40">
        <f t="shared" ref="I175:K175" si="44">+I168+I169+I170+I173+I174</f>
        <v>0</v>
      </c>
      <c r="J175" s="40">
        <f t="shared" si="44"/>
        <v>0</v>
      </c>
      <c r="K175" s="42">
        <f t="shared" si="44"/>
        <v>0</v>
      </c>
      <c r="L175" s="55">
        <f>+L168+L169+L170+L173+L174</f>
        <v>0</v>
      </c>
      <c r="M175" s="40">
        <f t="shared" ref="M175:Q175" si="45">+M168+M169+M170+M173+M174</f>
        <v>0</v>
      </c>
      <c r="N175" s="40">
        <f t="shared" si="45"/>
        <v>0</v>
      </c>
      <c r="O175" s="41">
        <f t="shared" si="45"/>
        <v>0</v>
      </c>
      <c r="P175" s="43">
        <f t="shared" si="45"/>
        <v>1402.5</v>
      </c>
      <c r="Q175" s="43">
        <f t="shared" si="45"/>
        <v>637.5</v>
      </c>
      <c r="R175" s="1759"/>
      <c r="S175" s="106">
        <f>+S168</f>
        <v>0</v>
      </c>
      <c r="T175" s="106">
        <f>+T168</f>
        <v>0</v>
      </c>
      <c r="U175" s="107"/>
    </row>
    <row r="176" spans="1:23" s="4" customFormat="1" ht="14.85" customHeight="1" x14ac:dyDescent="0.2">
      <c r="A176" s="1603" t="s">
        <v>17</v>
      </c>
      <c r="B176" s="1606" t="s">
        <v>18</v>
      </c>
      <c r="C176" s="1699" t="s">
        <v>184</v>
      </c>
      <c r="D176" s="1679" t="s">
        <v>185</v>
      </c>
      <c r="E176" s="1752" t="s">
        <v>133</v>
      </c>
      <c r="F176" s="1754">
        <v>1</v>
      </c>
      <c r="G176" s="23" t="s">
        <v>30</v>
      </c>
      <c r="H176" s="191"/>
      <c r="I176" s="215"/>
      <c r="J176" s="215"/>
      <c r="K176" s="216"/>
      <c r="L176" s="49"/>
      <c r="M176" s="215"/>
      <c r="N176" s="215"/>
      <c r="O176" s="23"/>
      <c r="P176" s="14"/>
      <c r="Q176" s="14"/>
      <c r="R176" s="1641" t="s">
        <v>186</v>
      </c>
      <c r="S176" s="1687"/>
      <c r="T176" s="1687"/>
      <c r="U176" s="1756" t="s">
        <v>594</v>
      </c>
      <c r="V176" s="33"/>
      <c r="W176" s="33"/>
    </row>
    <row r="177" spans="1:21" ht="14.85" customHeight="1" x14ac:dyDescent="0.2">
      <c r="A177" s="1604"/>
      <c r="B177" s="1607"/>
      <c r="C177" s="1699"/>
      <c r="D177" s="1680"/>
      <c r="E177" s="1753"/>
      <c r="F177" s="1755"/>
      <c r="G177" s="13" t="s">
        <v>73</v>
      </c>
      <c r="H177" s="191"/>
      <c r="I177" s="215"/>
      <c r="J177" s="215"/>
      <c r="K177" s="216"/>
      <c r="L177" s="49"/>
      <c r="M177" s="215"/>
      <c r="N177" s="215"/>
      <c r="O177" s="23"/>
      <c r="P177" s="14"/>
      <c r="Q177" s="14"/>
      <c r="R177" s="1641"/>
      <c r="S177" s="1687"/>
      <c r="T177" s="1687"/>
      <c r="U177" s="1757"/>
    </row>
    <row r="178" spans="1:21" ht="14.85" customHeight="1" x14ac:dyDescent="0.2">
      <c r="A178" s="1604"/>
      <c r="B178" s="1607"/>
      <c r="C178" s="1699"/>
      <c r="D178" s="1680"/>
      <c r="E178" s="1753"/>
      <c r="F178" s="1755"/>
      <c r="G178" s="15" t="s">
        <v>59</v>
      </c>
      <c r="H178" s="16">
        <f>+H179+H180</f>
        <v>0</v>
      </c>
      <c r="I178" s="17">
        <f t="shared" ref="I178:K178" si="46">+I179+I180</f>
        <v>0</v>
      </c>
      <c r="J178" s="17">
        <f t="shared" si="46"/>
        <v>0</v>
      </c>
      <c r="K178" s="19">
        <f t="shared" si="46"/>
        <v>0</v>
      </c>
      <c r="L178" s="50">
        <f>+L179+L180</f>
        <v>0</v>
      </c>
      <c r="M178" s="17">
        <f t="shared" ref="M178:Q178" si="47">+M179+M180</f>
        <v>0</v>
      </c>
      <c r="N178" s="17">
        <f t="shared" si="47"/>
        <v>0</v>
      </c>
      <c r="O178" s="18">
        <f t="shared" si="47"/>
        <v>0</v>
      </c>
      <c r="P178" s="20">
        <f t="shared" si="47"/>
        <v>50</v>
      </c>
      <c r="Q178" s="20">
        <f t="shared" si="47"/>
        <v>319</v>
      </c>
      <c r="R178" s="1641"/>
      <c r="S178" s="1687"/>
      <c r="T178" s="1687"/>
      <c r="U178" s="1757"/>
    </row>
    <row r="179" spans="1:21" ht="14.85" customHeight="1" x14ac:dyDescent="0.2">
      <c r="A179" s="1604"/>
      <c r="B179" s="1607"/>
      <c r="C179" s="1699"/>
      <c r="D179" s="1680"/>
      <c r="E179" s="1753"/>
      <c r="F179" s="1755"/>
      <c r="G179" s="101" t="s">
        <v>130</v>
      </c>
      <c r="H179" s="141"/>
      <c r="I179" s="142"/>
      <c r="J179" s="142"/>
      <c r="K179" s="143"/>
      <c r="L179" s="155"/>
      <c r="M179" s="142"/>
      <c r="N179" s="142"/>
      <c r="O179" s="156"/>
      <c r="P179" s="14">
        <v>50</v>
      </c>
      <c r="Q179" s="14">
        <v>319</v>
      </c>
      <c r="R179" s="1641"/>
      <c r="S179" s="1687"/>
      <c r="T179" s="1687"/>
      <c r="U179" s="1757"/>
    </row>
    <row r="180" spans="1:21" ht="14.85" customHeight="1" x14ac:dyDescent="0.2">
      <c r="A180" s="1604"/>
      <c r="B180" s="1607"/>
      <c r="C180" s="1699"/>
      <c r="D180" s="1680"/>
      <c r="E180" s="1753"/>
      <c r="F180" s="1755"/>
      <c r="G180" s="101" t="s">
        <v>71</v>
      </c>
      <c r="H180" s="123"/>
      <c r="I180" s="124"/>
      <c r="J180" s="124"/>
      <c r="K180" s="125"/>
      <c r="L180" s="126"/>
      <c r="M180" s="124"/>
      <c r="N180" s="124"/>
      <c r="O180" s="122"/>
      <c r="P180" s="127"/>
      <c r="Q180" s="127"/>
      <c r="R180" s="1641"/>
      <c r="S180" s="1687"/>
      <c r="T180" s="1687"/>
      <c r="U180" s="1757"/>
    </row>
    <row r="181" spans="1:21" ht="14.85" customHeight="1" x14ac:dyDescent="0.2">
      <c r="A181" s="1604"/>
      <c r="B181" s="1607"/>
      <c r="C181" s="1699"/>
      <c r="D181" s="1680"/>
      <c r="E181" s="1753"/>
      <c r="F181" s="1755"/>
      <c r="G181" s="13" t="s">
        <v>36</v>
      </c>
      <c r="H181" s="191"/>
      <c r="I181" s="215"/>
      <c r="J181" s="215"/>
      <c r="K181" s="216"/>
      <c r="L181" s="49"/>
      <c r="M181" s="215"/>
      <c r="N181" s="215"/>
      <c r="O181" s="23"/>
      <c r="P181" s="14"/>
      <c r="Q181" s="14"/>
      <c r="R181" s="1641"/>
      <c r="S181" s="1687"/>
      <c r="T181" s="1687"/>
      <c r="U181" s="1757"/>
    </row>
    <row r="182" spans="1:21" ht="14.85" customHeight="1" x14ac:dyDescent="0.2">
      <c r="A182" s="1604"/>
      <c r="B182" s="1607"/>
      <c r="C182" s="1699"/>
      <c r="D182" s="1680"/>
      <c r="E182" s="1753"/>
      <c r="F182" s="1755"/>
      <c r="G182" s="13" t="s">
        <v>72</v>
      </c>
      <c r="H182" s="191"/>
      <c r="I182" s="215"/>
      <c r="J182" s="215"/>
      <c r="K182" s="216"/>
      <c r="L182" s="49"/>
      <c r="M182" s="215"/>
      <c r="N182" s="215"/>
      <c r="O182" s="23"/>
      <c r="P182" s="14"/>
      <c r="Q182" s="14"/>
      <c r="R182" s="1641"/>
      <c r="S182" s="1687"/>
      <c r="T182" s="1687"/>
      <c r="U182" s="1757"/>
    </row>
    <row r="183" spans="1:21" ht="14.85" customHeight="1" thickBot="1" x14ac:dyDescent="0.25">
      <c r="A183" s="1604"/>
      <c r="B183" s="1607"/>
      <c r="C183" s="1699"/>
      <c r="D183" s="1680"/>
      <c r="E183" s="1753"/>
      <c r="F183" s="1744"/>
      <c r="G183" s="108" t="s">
        <v>13</v>
      </c>
      <c r="H183" s="39">
        <f>+H176+H177+H178+H181+H182</f>
        <v>0</v>
      </c>
      <c r="I183" s="40">
        <f t="shared" ref="I183:K183" si="48">+I176+I177+I178+I181+I182</f>
        <v>0</v>
      </c>
      <c r="J183" s="40">
        <f t="shared" si="48"/>
        <v>0</v>
      </c>
      <c r="K183" s="42">
        <f t="shared" si="48"/>
        <v>0</v>
      </c>
      <c r="L183" s="55">
        <f>+L176+L177+L178+L181+L182</f>
        <v>0</v>
      </c>
      <c r="M183" s="40">
        <f t="shared" ref="M183:Q183" si="49">+M176+M177+M178+M181+M182</f>
        <v>0</v>
      </c>
      <c r="N183" s="40">
        <f t="shared" si="49"/>
        <v>0</v>
      </c>
      <c r="O183" s="41">
        <f t="shared" si="49"/>
        <v>0</v>
      </c>
      <c r="P183" s="43">
        <f t="shared" si="49"/>
        <v>50</v>
      </c>
      <c r="Q183" s="43">
        <f t="shared" si="49"/>
        <v>319</v>
      </c>
      <c r="R183" s="1759"/>
      <c r="S183" s="106">
        <f>+S176</f>
        <v>0</v>
      </c>
      <c r="T183" s="106">
        <f>+T176</f>
        <v>0</v>
      </c>
      <c r="U183" s="107"/>
    </row>
    <row r="184" spans="1:21" ht="14.85" customHeight="1" thickBot="1" x14ac:dyDescent="0.25">
      <c r="A184" s="9" t="s">
        <v>17</v>
      </c>
      <c r="B184" s="222" t="s">
        <v>18</v>
      </c>
      <c r="C184" s="1653" t="s">
        <v>14</v>
      </c>
      <c r="D184" s="1758"/>
      <c r="E184" s="1758"/>
      <c r="F184" s="1758"/>
      <c r="G184" s="1758"/>
      <c r="H184" s="45">
        <f>+H63+H71+H79+H87+H95+H103+H111+H119+H127+H135+H143+H151+H159+H167+H183+H175</f>
        <v>344.8</v>
      </c>
      <c r="I184" s="45">
        <f t="shared" ref="I184:Q184" si="50">+I63+I71+I79+I87+I95+I103+I111+I119+I127+I135+I143+I151+I159+I167+I183+I175</f>
        <v>1.8</v>
      </c>
      <c r="J184" s="45">
        <f t="shared" si="50"/>
        <v>0</v>
      </c>
      <c r="K184" s="45">
        <f t="shared" si="50"/>
        <v>343</v>
      </c>
      <c r="L184" s="45">
        <f t="shared" si="50"/>
        <v>311.60000000000002</v>
      </c>
      <c r="M184" s="45">
        <f t="shared" si="50"/>
        <v>1.8</v>
      </c>
      <c r="N184" s="45">
        <f t="shared" si="50"/>
        <v>0</v>
      </c>
      <c r="O184" s="45">
        <f t="shared" si="50"/>
        <v>309.8</v>
      </c>
      <c r="P184" s="45">
        <f t="shared" si="50"/>
        <v>3070.8999999999996</v>
      </c>
      <c r="Q184" s="45">
        <f t="shared" si="50"/>
        <v>2686.2</v>
      </c>
      <c r="R184" s="45" t="s">
        <v>23</v>
      </c>
      <c r="S184" s="222" t="s">
        <v>23</v>
      </c>
      <c r="T184" s="222" t="s">
        <v>23</v>
      </c>
      <c r="U184" s="46" t="s">
        <v>23</v>
      </c>
    </row>
    <row r="185" spans="1:21" ht="14.85" customHeight="1" thickBot="1" x14ac:dyDescent="0.25">
      <c r="A185" s="9" t="s">
        <v>17</v>
      </c>
      <c r="B185" s="222" t="s">
        <v>19</v>
      </c>
      <c r="C185" s="1630" t="s">
        <v>176</v>
      </c>
      <c r="D185" s="1631"/>
      <c r="E185" s="1631"/>
      <c r="F185" s="1631"/>
      <c r="G185" s="1631"/>
      <c r="H185" s="1656"/>
      <c r="I185" s="1656"/>
      <c r="J185" s="1656"/>
      <c r="K185" s="1656"/>
      <c r="L185" s="1657"/>
      <c r="M185" s="1657"/>
      <c r="N185" s="1657"/>
      <c r="O185" s="1657"/>
      <c r="P185" s="1657"/>
      <c r="Q185" s="1656"/>
      <c r="R185" s="1657"/>
      <c r="S185" s="1657"/>
      <c r="T185" s="1657"/>
      <c r="U185" s="1658"/>
    </row>
    <row r="186" spans="1:21" ht="14.85" customHeight="1" x14ac:dyDescent="0.2">
      <c r="A186" s="1749" t="s">
        <v>17</v>
      </c>
      <c r="B186" s="1725" t="s">
        <v>19</v>
      </c>
      <c r="C186" s="1728" t="s">
        <v>17</v>
      </c>
      <c r="D186" s="1722" t="s">
        <v>37</v>
      </c>
      <c r="E186" s="1639" t="s">
        <v>57</v>
      </c>
      <c r="F186" s="1754">
        <v>1</v>
      </c>
      <c r="G186" s="47" t="s">
        <v>30</v>
      </c>
      <c r="H186" s="11"/>
      <c r="I186" s="738"/>
      <c r="J186" s="738"/>
      <c r="K186" s="740"/>
      <c r="L186" s="109"/>
      <c r="M186" s="738"/>
      <c r="N186" s="738"/>
      <c r="O186" s="47"/>
      <c r="P186" s="12"/>
      <c r="Q186" s="102"/>
      <c r="R186" s="1645" t="s">
        <v>70</v>
      </c>
      <c r="S186" s="1713"/>
      <c r="T186" s="1713"/>
      <c r="U186" s="1751"/>
    </row>
    <row r="187" spans="1:21" ht="14.85" customHeight="1" x14ac:dyDescent="0.2">
      <c r="A187" s="1749"/>
      <c r="B187" s="1725"/>
      <c r="C187" s="1728"/>
      <c r="D187" s="1722"/>
      <c r="E187" s="1639"/>
      <c r="F187" s="1755"/>
      <c r="G187" s="13" t="s">
        <v>73</v>
      </c>
      <c r="H187" s="191"/>
      <c r="I187" s="734"/>
      <c r="J187" s="734"/>
      <c r="K187" s="735"/>
      <c r="L187" s="49"/>
      <c r="M187" s="734"/>
      <c r="N187" s="734"/>
      <c r="O187" s="23"/>
      <c r="P187" s="14"/>
      <c r="Q187" s="21"/>
      <c r="R187" s="1641"/>
      <c r="S187" s="1687"/>
      <c r="T187" s="1687"/>
      <c r="U187" s="1693"/>
    </row>
    <row r="188" spans="1:21" ht="14.85" customHeight="1" x14ac:dyDescent="0.2">
      <c r="A188" s="1749"/>
      <c r="B188" s="1725"/>
      <c r="C188" s="1728"/>
      <c r="D188" s="1722"/>
      <c r="E188" s="1639"/>
      <c r="F188" s="1755"/>
      <c r="G188" s="15" t="s">
        <v>59</v>
      </c>
      <c r="H188" s="16">
        <f>+H189+H190</f>
        <v>0</v>
      </c>
      <c r="I188" s="17">
        <f t="shared" ref="I188:Q188" si="51">+I189+I190</f>
        <v>0</v>
      </c>
      <c r="J188" s="17">
        <f t="shared" si="51"/>
        <v>0</v>
      </c>
      <c r="K188" s="19">
        <f t="shared" si="51"/>
        <v>0</v>
      </c>
      <c r="L188" s="50">
        <f t="shared" si="51"/>
        <v>0</v>
      </c>
      <c r="M188" s="17">
        <f t="shared" si="51"/>
        <v>0</v>
      </c>
      <c r="N188" s="17">
        <f t="shared" si="51"/>
        <v>0</v>
      </c>
      <c r="O188" s="18">
        <f t="shared" si="51"/>
        <v>0</v>
      </c>
      <c r="P188" s="20">
        <f t="shared" si="51"/>
        <v>0</v>
      </c>
      <c r="Q188" s="37">
        <f t="shared" si="51"/>
        <v>0</v>
      </c>
      <c r="R188" s="1641"/>
      <c r="S188" s="1687"/>
      <c r="T188" s="1687"/>
      <c r="U188" s="1693"/>
    </row>
    <row r="189" spans="1:21" ht="14.85" customHeight="1" x14ac:dyDescent="0.2">
      <c r="A189" s="1749"/>
      <c r="B189" s="1725"/>
      <c r="C189" s="1728"/>
      <c r="D189" s="1722"/>
      <c r="E189" s="1639"/>
      <c r="F189" s="1755"/>
      <c r="G189" s="101" t="s">
        <v>130</v>
      </c>
      <c r="H189" s="123"/>
      <c r="I189" s="124"/>
      <c r="J189" s="124"/>
      <c r="K189" s="125"/>
      <c r="L189" s="126"/>
      <c r="M189" s="124"/>
      <c r="N189" s="124"/>
      <c r="O189" s="122"/>
      <c r="P189" s="127"/>
      <c r="Q189" s="127"/>
      <c r="R189" s="1641"/>
      <c r="S189" s="1687"/>
      <c r="T189" s="1687"/>
      <c r="U189" s="1693"/>
    </row>
    <row r="190" spans="1:21" ht="14.85" customHeight="1" x14ac:dyDescent="0.2">
      <c r="A190" s="1749"/>
      <c r="B190" s="1725"/>
      <c r="C190" s="1728"/>
      <c r="D190" s="1722"/>
      <c r="E190" s="1639"/>
      <c r="F190" s="1755"/>
      <c r="G190" s="101" t="s">
        <v>71</v>
      </c>
      <c r="H190" s="123"/>
      <c r="I190" s="124"/>
      <c r="J190" s="124"/>
      <c r="K190" s="125"/>
      <c r="L190" s="126"/>
      <c r="M190" s="124"/>
      <c r="N190" s="124"/>
      <c r="O190" s="122"/>
      <c r="P190" s="127"/>
      <c r="Q190" s="127"/>
      <c r="R190" s="1641"/>
      <c r="S190" s="1687"/>
      <c r="T190" s="1687"/>
      <c r="U190" s="1693"/>
    </row>
    <row r="191" spans="1:21" ht="14.85" customHeight="1" x14ac:dyDescent="0.2">
      <c r="A191" s="1749"/>
      <c r="B191" s="1725"/>
      <c r="C191" s="1728"/>
      <c r="D191" s="1722"/>
      <c r="E191" s="1639"/>
      <c r="F191" s="1755"/>
      <c r="G191" s="13" t="s">
        <v>36</v>
      </c>
      <c r="H191" s="191"/>
      <c r="I191" s="734"/>
      <c r="J191" s="734"/>
      <c r="K191" s="735"/>
      <c r="L191" s="49"/>
      <c r="M191" s="734"/>
      <c r="N191" s="734"/>
      <c r="O191" s="23"/>
      <c r="P191" s="14"/>
      <c r="Q191" s="21"/>
      <c r="R191" s="1641"/>
      <c r="S191" s="1687"/>
      <c r="T191" s="1687"/>
      <c r="U191" s="1693"/>
    </row>
    <row r="192" spans="1:21" ht="14.85" customHeight="1" x14ac:dyDescent="0.2">
      <c r="A192" s="1749"/>
      <c r="B192" s="1725"/>
      <c r="C192" s="1728"/>
      <c r="D192" s="1722"/>
      <c r="E192" s="1639"/>
      <c r="F192" s="1755"/>
      <c r="G192" s="13" t="s">
        <v>72</v>
      </c>
      <c r="H192" s="191"/>
      <c r="I192" s="734"/>
      <c r="J192" s="734"/>
      <c r="K192" s="735"/>
      <c r="L192" s="49"/>
      <c r="M192" s="734"/>
      <c r="N192" s="734"/>
      <c r="O192" s="23"/>
      <c r="P192" s="14"/>
      <c r="Q192" s="21"/>
      <c r="R192" s="1641"/>
      <c r="S192" s="1687"/>
      <c r="T192" s="1687"/>
      <c r="U192" s="1693"/>
    </row>
    <row r="193" spans="1:21" ht="14.85" customHeight="1" x14ac:dyDescent="0.2">
      <c r="A193" s="1634"/>
      <c r="B193" s="1635"/>
      <c r="C193" s="1699"/>
      <c r="D193" s="1701"/>
      <c r="E193" s="1695"/>
      <c r="F193" s="1744"/>
      <c r="G193" s="24" t="s">
        <v>13</v>
      </c>
      <c r="H193" s="28">
        <f>+H186+H187+H188+H191+H192</f>
        <v>0</v>
      </c>
      <c r="I193" s="26">
        <f t="shared" ref="I193:Q193" si="52">+I186+I187+I188+I191+I192</f>
        <v>0</v>
      </c>
      <c r="J193" s="26">
        <f t="shared" si="52"/>
        <v>0</v>
      </c>
      <c r="K193" s="31">
        <f t="shared" si="52"/>
        <v>0</v>
      </c>
      <c r="L193" s="27">
        <f t="shared" si="52"/>
        <v>0</v>
      </c>
      <c r="M193" s="26">
        <f t="shared" si="52"/>
        <v>0</v>
      </c>
      <c r="N193" s="26">
        <f t="shared" si="52"/>
        <v>0</v>
      </c>
      <c r="O193" s="30">
        <f t="shared" si="52"/>
        <v>0</v>
      </c>
      <c r="P193" s="32">
        <f t="shared" si="52"/>
        <v>0</v>
      </c>
      <c r="Q193" s="25">
        <f t="shared" si="52"/>
        <v>0</v>
      </c>
      <c r="R193" s="1641"/>
      <c r="S193" s="26">
        <f>SUM(S186:S186)</f>
        <v>0</v>
      </c>
      <c r="T193" s="26">
        <f>SUM(T186:T186)</f>
        <v>0</v>
      </c>
      <c r="U193" s="31"/>
    </row>
    <row r="194" spans="1:21" ht="14.85" hidden="1" customHeight="1" x14ac:dyDescent="0.2">
      <c r="A194" s="1749" t="s">
        <v>17</v>
      </c>
      <c r="B194" s="1725" t="s">
        <v>19</v>
      </c>
      <c r="C194" s="1750">
        <v>3</v>
      </c>
      <c r="D194" s="1743" t="s">
        <v>145</v>
      </c>
      <c r="E194" s="1639" t="s">
        <v>58</v>
      </c>
      <c r="F194" s="1618">
        <v>1</v>
      </c>
      <c r="G194" s="23" t="s">
        <v>30</v>
      </c>
      <c r="H194" s="191"/>
      <c r="I194" s="215"/>
      <c r="J194" s="215"/>
      <c r="K194" s="216"/>
      <c r="L194" s="49"/>
      <c r="M194" s="215"/>
      <c r="N194" s="215"/>
      <c r="O194" s="23"/>
      <c r="P194" s="14"/>
      <c r="Q194" s="21"/>
      <c r="R194" s="1641" t="s">
        <v>149</v>
      </c>
      <c r="S194" s="1687"/>
      <c r="T194" s="1687"/>
      <c r="U194" s="1693"/>
    </row>
    <row r="195" spans="1:21" ht="14.85" hidden="1" customHeight="1" x14ac:dyDescent="0.2">
      <c r="A195" s="1749"/>
      <c r="B195" s="1725"/>
      <c r="C195" s="1750"/>
      <c r="D195" s="1743"/>
      <c r="E195" s="1639"/>
      <c r="F195" s="1618"/>
      <c r="G195" s="13" t="s">
        <v>73</v>
      </c>
      <c r="H195" s="191"/>
      <c r="I195" s="215"/>
      <c r="J195" s="215"/>
      <c r="K195" s="216"/>
      <c r="L195" s="49"/>
      <c r="M195" s="215"/>
      <c r="N195" s="215"/>
      <c r="O195" s="23"/>
      <c r="P195" s="14"/>
      <c r="Q195" s="21"/>
      <c r="R195" s="1641"/>
      <c r="S195" s="1687"/>
      <c r="T195" s="1687"/>
      <c r="U195" s="1693"/>
    </row>
    <row r="196" spans="1:21" ht="14.85" hidden="1" customHeight="1" x14ac:dyDescent="0.2">
      <c r="A196" s="1749"/>
      <c r="B196" s="1725"/>
      <c r="C196" s="1750"/>
      <c r="D196" s="1743"/>
      <c r="E196" s="1639"/>
      <c r="F196" s="1618"/>
      <c r="G196" s="15" t="s">
        <v>59</v>
      </c>
      <c r="H196" s="16">
        <f>+H197+H198</f>
        <v>0</v>
      </c>
      <c r="I196" s="17">
        <f t="shared" ref="I196:Q196" si="53">+I197+I198</f>
        <v>0</v>
      </c>
      <c r="J196" s="17">
        <f t="shared" si="53"/>
        <v>0</v>
      </c>
      <c r="K196" s="19">
        <f t="shared" si="53"/>
        <v>0</v>
      </c>
      <c r="L196" s="50">
        <f t="shared" si="53"/>
        <v>0</v>
      </c>
      <c r="M196" s="17">
        <f t="shared" si="53"/>
        <v>0</v>
      </c>
      <c r="N196" s="17">
        <f t="shared" si="53"/>
        <v>0</v>
      </c>
      <c r="O196" s="18">
        <f t="shared" si="53"/>
        <v>0</v>
      </c>
      <c r="P196" s="20">
        <f t="shared" si="53"/>
        <v>0</v>
      </c>
      <c r="Q196" s="37">
        <f t="shared" si="53"/>
        <v>0</v>
      </c>
      <c r="R196" s="1641"/>
      <c r="S196" s="1687"/>
      <c r="T196" s="1687"/>
      <c r="U196" s="1693"/>
    </row>
    <row r="197" spans="1:21" ht="14.85" hidden="1" customHeight="1" x14ac:dyDescent="0.2">
      <c r="A197" s="1749"/>
      <c r="B197" s="1725"/>
      <c r="C197" s="1750"/>
      <c r="D197" s="1743"/>
      <c r="E197" s="1639"/>
      <c r="F197" s="1618"/>
      <c r="G197" s="101" t="s">
        <v>130</v>
      </c>
      <c r="H197" s="123"/>
      <c r="I197" s="124"/>
      <c r="J197" s="124"/>
      <c r="K197" s="125"/>
      <c r="L197" s="126"/>
      <c r="M197" s="124"/>
      <c r="N197" s="124"/>
      <c r="O197" s="122"/>
      <c r="P197" s="127"/>
      <c r="Q197" s="127"/>
      <c r="R197" s="1641"/>
      <c r="S197" s="1687"/>
      <c r="T197" s="1687"/>
      <c r="U197" s="1693"/>
    </row>
    <row r="198" spans="1:21" ht="14.85" hidden="1" customHeight="1" x14ac:dyDescent="0.2">
      <c r="A198" s="1749"/>
      <c r="B198" s="1725"/>
      <c r="C198" s="1750"/>
      <c r="D198" s="1743"/>
      <c r="E198" s="1639"/>
      <c r="F198" s="1618"/>
      <c r="G198" s="101" t="s">
        <v>71</v>
      </c>
      <c r="H198" s="123"/>
      <c r="I198" s="124"/>
      <c r="J198" s="124"/>
      <c r="K198" s="125"/>
      <c r="L198" s="126"/>
      <c r="M198" s="124"/>
      <c r="N198" s="124"/>
      <c r="O198" s="122"/>
      <c r="P198" s="127"/>
      <c r="Q198" s="127"/>
      <c r="R198" s="1641"/>
      <c r="S198" s="1687"/>
      <c r="T198" s="1687"/>
      <c r="U198" s="1693"/>
    </row>
    <row r="199" spans="1:21" ht="14.85" hidden="1" customHeight="1" x14ac:dyDescent="0.2">
      <c r="A199" s="1749"/>
      <c r="B199" s="1725"/>
      <c r="C199" s="1750"/>
      <c r="D199" s="1743"/>
      <c r="E199" s="1639"/>
      <c r="F199" s="1618"/>
      <c r="G199" s="13" t="s">
        <v>36</v>
      </c>
      <c r="H199" s="191"/>
      <c r="I199" s="215"/>
      <c r="J199" s="215"/>
      <c r="K199" s="216"/>
      <c r="L199" s="49"/>
      <c r="M199" s="215"/>
      <c r="N199" s="215"/>
      <c r="O199" s="23"/>
      <c r="P199" s="14"/>
      <c r="Q199" s="21"/>
      <c r="R199" s="1641"/>
      <c r="S199" s="1687"/>
      <c r="T199" s="1687"/>
      <c r="U199" s="1693"/>
    </row>
    <row r="200" spans="1:21" ht="14.85" hidden="1" customHeight="1" x14ac:dyDescent="0.2">
      <c r="A200" s="1749"/>
      <c r="B200" s="1725"/>
      <c r="C200" s="1750"/>
      <c r="D200" s="1743"/>
      <c r="E200" s="1639"/>
      <c r="F200" s="1618"/>
      <c r="G200" s="13" t="s">
        <v>72</v>
      </c>
      <c r="H200" s="191"/>
      <c r="I200" s="215"/>
      <c r="J200" s="215"/>
      <c r="K200" s="216"/>
      <c r="L200" s="49"/>
      <c r="M200" s="215"/>
      <c r="N200" s="215"/>
      <c r="O200" s="23"/>
      <c r="P200" s="14"/>
      <c r="Q200" s="21"/>
      <c r="R200" s="1641"/>
      <c r="S200" s="1687"/>
      <c r="T200" s="1687"/>
      <c r="U200" s="1693"/>
    </row>
    <row r="201" spans="1:21" ht="14.85" hidden="1" customHeight="1" x14ac:dyDescent="0.2">
      <c r="A201" s="1634"/>
      <c r="B201" s="1635"/>
      <c r="C201" s="1702"/>
      <c r="D201" s="1696"/>
      <c r="E201" s="1695"/>
      <c r="F201" s="1619"/>
      <c r="G201" s="24" t="s">
        <v>13</v>
      </c>
      <c r="H201" s="28">
        <f>+H194+H195+H196+H199+H200</f>
        <v>0</v>
      </c>
      <c r="I201" s="26">
        <f t="shared" ref="I201:Q201" si="54">+I194+I195+I196+I199+I200</f>
        <v>0</v>
      </c>
      <c r="J201" s="26">
        <f t="shared" si="54"/>
        <v>0</v>
      </c>
      <c r="K201" s="31">
        <f t="shared" si="54"/>
        <v>0</v>
      </c>
      <c r="L201" s="27">
        <f t="shared" si="54"/>
        <v>0</v>
      </c>
      <c r="M201" s="26">
        <f t="shared" si="54"/>
        <v>0</v>
      </c>
      <c r="N201" s="26">
        <f t="shared" si="54"/>
        <v>0</v>
      </c>
      <c r="O201" s="30">
        <f t="shared" si="54"/>
        <v>0</v>
      </c>
      <c r="P201" s="32">
        <f t="shared" si="54"/>
        <v>0</v>
      </c>
      <c r="Q201" s="25">
        <f t="shared" si="54"/>
        <v>0</v>
      </c>
      <c r="R201" s="1641"/>
      <c r="S201" s="26">
        <f>SUM(S194:S194)</f>
        <v>0</v>
      </c>
      <c r="T201" s="26">
        <f>SUM(T194:T194)</f>
        <v>0</v>
      </c>
      <c r="U201" s="31">
        <f>SUM(U194:U194)</f>
        <v>0</v>
      </c>
    </row>
    <row r="202" spans="1:21" ht="14.85" hidden="1" customHeight="1" x14ac:dyDescent="0.2">
      <c r="A202" s="1749" t="s">
        <v>17</v>
      </c>
      <c r="B202" s="1725" t="s">
        <v>19</v>
      </c>
      <c r="C202" s="1750">
        <v>4</v>
      </c>
      <c r="D202" s="1743" t="s">
        <v>146</v>
      </c>
      <c r="E202" s="1639" t="s">
        <v>58</v>
      </c>
      <c r="F202" s="1618">
        <v>1</v>
      </c>
      <c r="G202" s="23" t="s">
        <v>30</v>
      </c>
      <c r="H202" s="191"/>
      <c r="I202" s="215"/>
      <c r="J202" s="215"/>
      <c r="K202" s="216"/>
      <c r="L202" s="49"/>
      <c r="M202" s="215"/>
      <c r="N202" s="215"/>
      <c r="O202" s="23"/>
      <c r="P202" s="14"/>
      <c r="Q202" s="21"/>
      <c r="R202" s="1641" t="s">
        <v>149</v>
      </c>
      <c r="S202" s="1687"/>
      <c r="T202" s="1687"/>
      <c r="U202" s="1693"/>
    </row>
    <row r="203" spans="1:21" ht="14.85" hidden="1" customHeight="1" x14ac:dyDescent="0.2">
      <c r="A203" s="1749"/>
      <c r="B203" s="1725"/>
      <c r="C203" s="1750"/>
      <c r="D203" s="1743"/>
      <c r="E203" s="1639"/>
      <c r="F203" s="1618"/>
      <c r="G203" s="13" t="s">
        <v>73</v>
      </c>
      <c r="H203" s="191"/>
      <c r="I203" s="215"/>
      <c r="J203" s="215"/>
      <c r="K203" s="216"/>
      <c r="L203" s="49"/>
      <c r="M203" s="215"/>
      <c r="N203" s="215"/>
      <c r="O203" s="23"/>
      <c r="P203" s="14"/>
      <c r="Q203" s="21"/>
      <c r="R203" s="1641"/>
      <c r="S203" s="1687"/>
      <c r="T203" s="1687"/>
      <c r="U203" s="1693"/>
    </row>
    <row r="204" spans="1:21" ht="14.85" hidden="1" customHeight="1" x14ac:dyDescent="0.2">
      <c r="A204" s="1749"/>
      <c r="B204" s="1725"/>
      <c r="C204" s="1750"/>
      <c r="D204" s="1743"/>
      <c r="E204" s="1639"/>
      <c r="F204" s="1618"/>
      <c r="G204" s="15" t="s">
        <v>59</v>
      </c>
      <c r="H204" s="16">
        <f>+H205+H206</f>
        <v>0</v>
      </c>
      <c r="I204" s="17">
        <f t="shared" ref="I204:Q204" si="55">+I205+I206</f>
        <v>0</v>
      </c>
      <c r="J204" s="17">
        <f t="shared" si="55"/>
        <v>0</v>
      </c>
      <c r="K204" s="19">
        <f t="shared" si="55"/>
        <v>0</v>
      </c>
      <c r="L204" s="50">
        <f t="shared" si="55"/>
        <v>0</v>
      </c>
      <c r="M204" s="17">
        <f t="shared" si="55"/>
        <v>0</v>
      </c>
      <c r="N204" s="17">
        <f t="shared" si="55"/>
        <v>0</v>
      </c>
      <c r="O204" s="18">
        <f t="shared" si="55"/>
        <v>0</v>
      </c>
      <c r="P204" s="20">
        <f t="shared" si="55"/>
        <v>0</v>
      </c>
      <c r="Q204" s="37">
        <f t="shared" si="55"/>
        <v>0</v>
      </c>
      <c r="R204" s="1641"/>
      <c r="S204" s="1687"/>
      <c r="T204" s="1687"/>
      <c r="U204" s="1693"/>
    </row>
    <row r="205" spans="1:21" ht="14.85" hidden="1" customHeight="1" x14ac:dyDescent="0.2">
      <c r="A205" s="1749"/>
      <c r="B205" s="1725"/>
      <c r="C205" s="1750"/>
      <c r="D205" s="1743"/>
      <c r="E205" s="1639"/>
      <c r="F205" s="1618"/>
      <c r="G205" s="101" t="s">
        <v>130</v>
      </c>
      <c r="H205" s="123"/>
      <c r="I205" s="124"/>
      <c r="J205" s="124"/>
      <c r="K205" s="125"/>
      <c r="L205" s="126"/>
      <c r="M205" s="124"/>
      <c r="N205" s="124"/>
      <c r="O205" s="122"/>
      <c r="P205" s="127"/>
      <c r="Q205" s="127"/>
      <c r="R205" s="1641"/>
      <c r="S205" s="1687"/>
      <c r="T205" s="1687"/>
      <c r="U205" s="1693"/>
    </row>
    <row r="206" spans="1:21" ht="14.85" hidden="1" customHeight="1" x14ac:dyDescent="0.2">
      <c r="A206" s="1749"/>
      <c r="B206" s="1725"/>
      <c r="C206" s="1750"/>
      <c r="D206" s="1743"/>
      <c r="E206" s="1639"/>
      <c r="F206" s="1618"/>
      <c r="G206" s="101" t="s">
        <v>71</v>
      </c>
      <c r="H206" s="123"/>
      <c r="I206" s="124"/>
      <c r="J206" s="124"/>
      <c r="K206" s="125"/>
      <c r="L206" s="126"/>
      <c r="M206" s="124"/>
      <c r="N206" s="124"/>
      <c r="O206" s="122"/>
      <c r="P206" s="127"/>
      <c r="Q206" s="127"/>
      <c r="R206" s="1641"/>
      <c r="S206" s="1687"/>
      <c r="T206" s="1687"/>
      <c r="U206" s="1693"/>
    </row>
    <row r="207" spans="1:21" ht="14.85" hidden="1" customHeight="1" x14ac:dyDescent="0.2">
      <c r="A207" s="1749"/>
      <c r="B207" s="1725"/>
      <c r="C207" s="1750"/>
      <c r="D207" s="1743"/>
      <c r="E207" s="1639"/>
      <c r="F207" s="1618"/>
      <c r="G207" s="13" t="s">
        <v>36</v>
      </c>
      <c r="H207" s="191"/>
      <c r="I207" s="215"/>
      <c r="J207" s="215"/>
      <c r="K207" s="216"/>
      <c r="L207" s="49"/>
      <c r="M207" s="215"/>
      <c r="N207" s="215"/>
      <c r="O207" s="23"/>
      <c r="P207" s="14"/>
      <c r="Q207" s="21"/>
      <c r="R207" s="1641"/>
      <c r="S207" s="1687"/>
      <c r="T207" s="1687"/>
      <c r="U207" s="1693"/>
    </row>
    <row r="208" spans="1:21" ht="14.85" hidden="1" customHeight="1" x14ac:dyDescent="0.2">
      <c r="A208" s="1749"/>
      <c r="B208" s="1725"/>
      <c r="C208" s="1750"/>
      <c r="D208" s="1743"/>
      <c r="E208" s="1639"/>
      <c r="F208" s="1618"/>
      <c r="G208" s="13" t="s">
        <v>72</v>
      </c>
      <c r="H208" s="191"/>
      <c r="I208" s="215"/>
      <c r="J208" s="215"/>
      <c r="K208" s="216"/>
      <c r="L208" s="49"/>
      <c r="M208" s="215"/>
      <c r="N208" s="215"/>
      <c r="O208" s="23"/>
      <c r="P208" s="14"/>
      <c r="Q208" s="21"/>
      <c r="R208" s="1641"/>
      <c r="S208" s="1687"/>
      <c r="T208" s="1687"/>
      <c r="U208" s="1693"/>
    </row>
    <row r="209" spans="1:21" ht="14.85" hidden="1" customHeight="1" x14ac:dyDescent="0.2">
      <c r="A209" s="1634"/>
      <c r="B209" s="1635"/>
      <c r="C209" s="1702"/>
      <c r="D209" s="1696"/>
      <c r="E209" s="1695"/>
      <c r="F209" s="1619"/>
      <c r="G209" s="24" t="s">
        <v>13</v>
      </c>
      <c r="H209" s="28">
        <f>+H202+H203+H204+H207+H208</f>
        <v>0</v>
      </c>
      <c r="I209" s="26">
        <f t="shared" ref="I209:Q209" si="56">+I202+I203+I204+I207+I208</f>
        <v>0</v>
      </c>
      <c r="J209" s="26">
        <f t="shared" si="56"/>
        <v>0</v>
      </c>
      <c r="K209" s="31">
        <f t="shared" si="56"/>
        <v>0</v>
      </c>
      <c r="L209" s="27">
        <f t="shared" si="56"/>
        <v>0</v>
      </c>
      <c r="M209" s="26">
        <f t="shared" si="56"/>
        <v>0</v>
      </c>
      <c r="N209" s="26">
        <f t="shared" si="56"/>
        <v>0</v>
      </c>
      <c r="O209" s="30">
        <f t="shared" si="56"/>
        <v>0</v>
      </c>
      <c r="P209" s="32">
        <f t="shared" si="56"/>
        <v>0</v>
      </c>
      <c r="Q209" s="25">
        <f t="shared" si="56"/>
        <v>0</v>
      </c>
      <c r="R209" s="1641"/>
      <c r="S209" s="26">
        <f>SUM(S202:S202)</f>
        <v>0</v>
      </c>
      <c r="T209" s="26">
        <f>SUM(T202:T202)</f>
        <v>0</v>
      </c>
      <c r="U209" s="31">
        <f>SUM(U202:U202)</f>
        <v>0</v>
      </c>
    </row>
    <row r="210" spans="1:21" ht="14.85" hidden="1" customHeight="1" x14ac:dyDescent="0.2">
      <c r="A210" s="1749" t="s">
        <v>17</v>
      </c>
      <c r="B210" s="1725" t="s">
        <v>19</v>
      </c>
      <c r="C210" s="1750">
        <v>6</v>
      </c>
      <c r="D210" s="1743" t="s">
        <v>147</v>
      </c>
      <c r="E210" s="1639" t="s">
        <v>148</v>
      </c>
      <c r="F210" s="1618">
        <v>1</v>
      </c>
      <c r="G210" s="23" t="s">
        <v>30</v>
      </c>
      <c r="H210" s="191"/>
      <c r="I210" s="215"/>
      <c r="J210" s="215"/>
      <c r="K210" s="216"/>
      <c r="L210" s="49"/>
      <c r="M210" s="215"/>
      <c r="N210" s="215"/>
      <c r="O210" s="23"/>
      <c r="P210" s="14"/>
      <c r="Q210" s="21"/>
      <c r="R210" s="1641" t="s">
        <v>149</v>
      </c>
      <c r="S210" s="1687"/>
      <c r="T210" s="1687"/>
      <c r="U210" s="1693"/>
    </row>
    <row r="211" spans="1:21" ht="14.85" hidden="1" customHeight="1" x14ac:dyDescent="0.2">
      <c r="A211" s="1749"/>
      <c r="B211" s="1725"/>
      <c r="C211" s="1750"/>
      <c r="D211" s="1743"/>
      <c r="E211" s="1639"/>
      <c r="F211" s="1618"/>
      <c r="G211" s="13" t="s">
        <v>73</v>
      </c>
      <c r="H211" s="191"/>
      <c r="I211" s="215"/>
      <c r="J211" s="215"/>
      <c r="K211" s="216"/>
      <c r="L211" s="49"/>
      <c r="M211" s="215"/>
      <c r="N211" s="215"/>
      <c r="O211" s="23"/>
      <c r="P211" s="14"/>
      <c r="Q211" s="21"/>
      <c r="R211" s="1641"/>
      <c r="S211" s="1687"/>
      <c r="T211" s="1687"/>
      <c r="U211" s="1693"/>
    </row>
    <row r="212" spans="1:21" ht="14.85" hidden="1" customHeight="1" x14ac:dyDescent="0.2">
      <c r="A212" s="1749"/>
      <c r="B212" s="1725"/>
      <c r="C212" s="1750"/>
      <c r="D212" s="1743"/>
      <c r="E212" s="1639"/>
      <c r="F212" s="1618"/>
      <c r="G212" s="15" t="s">
        <v>59</v>
      </c>
      <c r="H212" s="16">
        <f>+H213+H214</f>
        <v>0</v>
      </c>
      <c r="I212" s="17">
        <f t="shared" ref="I212:Q212" si="57">+I213+I214</f>
        <v>0</v>
      </c>
      <c r="J212" s="17">
        <f t="shared" si="57"/>
        <v>0</v>
      </c>
      <c r="K212" s="19">
        <f t="shared" si="57"/>
        <v>0</v>
      </c>
      <c r="L212" s="50">
        <f t="shared" si="57"/>
        <v>0</v>
      </c>
      <c r="M212" s="17">
        <f t="shared" si="57"/>
        <v>0</v>
      </c>
      <c r="N212" s="17">
        <f t="shared" si="57"/>
        <v>0</v>
      </c>
      <c r="O212" s="18">
        <f t="shared" si="57"/>
        <v>0</v>
      </c>
      <c r="P212" s="20">
        <f t="shared" si="57"/>
        <v>0</v>
      </c>
      <c r="Q212" s="37">
        <f t="shared" si="57"/>
        <v>0</v>
      </c>
      <c r="R212" s="1641"/>
      <c r="S212" s="1687"/>
      <c r="T212" s="1687"/>
      <c r="U212" s="1693"/>
    </row>
    <row r="213" spans="1:21" ht="14.85" hidden="1" customHeight="1" x14ac:dyDescent="0.2">
      <c r="A213" s="1749"/>
      <c r="B213" s="1725"/>
      <c r="C213" s="1750"/>
      <c r="D213" s="1743"/>
      <c r="E213" s="1639"/>
      <c r="F213" s="1618"/>
      <c r="G213" s="101" t="s">
        <v>130</v>
      </c>
      <c r="H213" s="123"/>
      <c r="I213" s="124"/>
      <c r="J213" s="124"/>
      <c r="K213" s="125"/>
      <c r="L213" s="126"/>
      <c r="M213" s="124"/>
      <c r="N213" s="124"/>
      <c r="O213" s="122"/>
      <c r="P213" s="127"/>
      <c r="Q213" s="127"/>
      <c r="R213" s="1641"/>
      <c r="S213" s="1687"/>
      <c r="T213" s="1687"/>
      <c r="U213" s="1693"/>
    </row>
    <row r="214" spans="1:21" ht="14.85" hidden="1" customHeight="1" x14ac:dyDescent="0.2">
      <c r="A214" s="1749"/>
      <c r="B214" s="1725"/>
      <c r="C214" s="1750"/>
      <c r="D214" s="1743"/>
      <c r="E214" s="1639"/>
      <c r="F214" s="1618"/>
      <c r="G214" s="101" t="s">
        <v>71</v>
      </c>
      <c r="H214" s="123"/>
      <c r="I214" s="124"/>
      <c r="J214" s="124"/>
      <c r="K214" s="125"/>
      <c r="L214" s="126"/>
      <c r="M214" s="124"/>
      <c r="N214" s="124"/>
      <c r="O214" s="122"/>
      <c r="P214" s="127"/>
      <c r="Q214" s="127"/>
      <c r="R214" s="1641"/>
      <c r="S214" s="1687"/>
      <c r="T214" s="1687"/>
      <c r="U214" s="1693"/>
    </row>
    <row r="215" spans="1:21" ht="14.85" hidden="1" customHeight="1" x14ac:dyDescent="0.2">
      <c r="A215" s="1749"/>
      <c r="B215" s="1725"/>
      <c r="C215" s="1750"/>
      <c r="D215" s="1743"/>
      <c r="E215" s="1639"/>
      <c r="F215" s="1618"/>
      <c r="G215" s="13" t="s">
        <v>36</v>
      </c>
      <c r="H215" s="191"/>
      <c r="I215" s="215"/>
      <c r="J215" s="215"/>
      <c r="K215" s="216"/>
      <c r="L215" s="49"/>
      <c r="M215" s="215"/>
      <c r="N215" s="215"/>
      <c r="O215" s="23"/>
      <c r="P215" s="14"/>
      <c r="Q215" s="21"/>
      <c r="R215" s="1641"/>
      <c r="S215" s="1687"/>
      <c r="T215" s="1687"/>
      <c r="U215" s="1693"/>
    </row>
    <row r="216" spans="1:21" ht="14.85" hidden="1" customHeight="1" x14ac:dyDescent="0.2">
      <c r="A216" s="1749"/>
      <c r="B216" s="1725"/>
      <c r="C216" s="1750"/>
      <c r="D216" s="1743"/>
      <c r="E216" s="1639"/>
      <c r="F216" s="1618"/>
      <c r="G216" s="13" t="s">
        <v>72</v>
      </c>
      <c r="H216" s="191"/>
      <c r="I216" s="215"/>
      <c r="J216" s="215"/>
      <c r="K216" s="216"/>
      <c r="L216" s="49"/>
      <c r="M216" s="215"/>
      <c r="N216" s="215"/>
      <c r="O216" s="23"/>
      <c r="P216" s="14"/>
      <c r="Q216" s="21"/>
      <c r="R216" s="1641"/>
      <c r="S216" s="1687"/>
      <c r="T216" s="1687"/>
      <c r="U216" s="1693"/>
    </row>
    <row r="217" spans="1:21" ht="14.85" hidden="1" customHeight="1" x14ac:dyDescent="0.2">
      <c r="A217" s="1634"/>
      <c r="B217" s="1635"/>
      <c r="C217" s="1702"/>
      <c r="D217" s="1696"/>
      <c r="E217" s="1695"/>
      <c r="F217" s="1619"/>
      <c r="G217" s="24" t="s">
        <v>13</v>
      </c>
      <c r="H217" s="28">
        <f>+H210+H211+H212+H215+H216</f>
        <v>0</v>
      </c>
      <c r="I217" s="26">
        <f t="shared" ref="I217:Q217" si="58">+I210+I211+I212+I215+I216</f>
        <v>0</v>
      </c>
      <c r="J217" s="26">
        <f t="shared" si="58"/>
        <v>0</v>
      </c>
      <c r="K217" s="31">
        <f t="shared" si="58"/>
        <v>0</v>
      </c>
      <c r="L217" s="27">
        <f t="shared" si="58"/>
        <v>0</v>
      </c>
      <c r="M217" s="26">
        <f t="shared" si="58"/>
        <v>0</v>
      </c>
      <c r="N217" s="26">
        <f t="shared" si="58"/>
        <v>0</v>
      </c>
      <c r="O217" s="30">
        <f t="shared" si="58"/>
        <v>0</v>
      </c>
      <c r="P217" s="32">
        <f t="shared" si="58"/>
        <v>0</v>
      </c>
      <c r="Q217" s="25">
        <f t="shared" si="58"/>
        <v>0</v>
      </c>
      <c r="R217" s="1641"/>
      <c r="S217" s="26">
        <f>SUM(S210:S210)</f>
        <v>0</v>
      </c>
      <c r="T217" s="26">
        <f>SUM(T210:T210)</f>
        <v>0</v>
      </c>
      <c r="U217" s="31">
        <f>SUM(U210:U210)</f>
        <v>0</v>
      </c>
    </row>
    <row r="218" spans="1:21" ht="14.85" hidden="1" customHeight="1" x14ac:dyDescent="0.2">
      <c r="A218" s="1749" t="s">
        <v>17</v>
      </c>
      <c r="B218" s="1725" t="s">
        <v>19</v>
      </c>
      <c r="C218" s="1750">
        <v>8</v>
      </c>
      <c r="D218" s="1743" t="s">
        <v>150</v>
      </c>
      <c r="E218" s="1639" t="s">
        <v>55</v>
      </c>
      <c r="F218" s="1618">
        <v>1</v>
      </c>
      <c r="G218" s="23" t="s">
        <v>30</v>
      </c>
      <c r="H218" s="191"/>
      <c r="I218" s="215"/>
      <c r="J218" s="215"/>
      <c r="K218" s="216"/>
      <c r="L218" s="49"/>
      <c r="M218" s="215"/>
      <c r="N218" s="215"/>
      <c r="O218" s="23"/>
      <c r="P218" s="14"/>
      <c r="Q218" s="21"/>
      <c r="R218" s="1641" t="s">
        <v>149</v>
      </c>
      <c r="S218" s="1687"/>
      <c r="T218" s="1687"/>
      <c r="U218" s="1693"/>
    </row>
    <row r="219" spans="1:21" ht="14.85" hidden="1" customHeight="1" x14ac:dyDescent="0.2">
      <c r="A219" s="1749"/>
      <c r="B219" s="1725"/>
      <c r="C219" s="1750"/>
      <c r="D219" s="1743"/>
      <c r="E219" s="1639"/>
      <c r="F219" s="1618"/>
      <c r="G219" s="13" t="s">
        <v>73</v>
      </c>
      <c r="H219" s="191"/>
      <c r="I219" s="215"/>
      <c r="J219" s="215"/>
      <c r="K219" s="216"/>
      <c r="L219" s="49"/>
      <c r="M219" s="215"/>
      <c r="N219" s="215"/>
      <c r="O219" s="23"/>
      <c r="P219" s="14"/>
      <c r="Q219" s="21"/>
      <c r="R219" s="1641"/>
      <c r="S219" s="1687"/>
      <c r="T219" s="1687"/>
      <c r="U219" s="1693"/>
    </row>
    <row r="220" spans="1:21" ht="14.85" hidden="1" customHeight="1" x14ac:dyDescent="0.2">
      <c r="A220" s="1749"/>
      <c r="B220" s="1725"/>
      <c r="C220" s="1750"/>
      <c r="D220" s="1743"/>
      <c r="E220" s="1639"/>
      <c r="F220" s="1618"/>
      <c r="G220" s="15" t="s">
        <v>59</v>
      </c>
      <c r="H220" s="16">
        <f>+H221+H222</f>
        <v>0</v>
      </c>
      <c r="I220" s="17">
        <f t="shared" ref="I220:Q220" si="59">+I221+I222</f>
        <v>0</v>
      </c>
      <c r="J220" s="17">
        <f t="shared" si="59"/>
        <v>0</v>
      </c>
      <c r="K220" s="19">
        <f t="shared" si="59"/>
        <v>0</v>
      </c>
      <c r="L220" s="50">
        <f t="shared" si="59"/>
        <v>0</v>
      </c>
      <c r="M220" s="17">
        <f t="shared" si="59"/>
        <v>0</v>
      </c>
      <c r="N220" s="17">
        <f t="shared" si="59"/>
        <v>0</v>
      </c>
      <c r="O220" s="18">
        <f t="shared" si="59"/>
        <v>0</v>
      </c>
      <c r="P220" s="20">
        <f t="shared" si="59"/>
        <v>0</v>
      </c>
      <c r="Q220" s="37">
        <f t="shared" si="59"/>
        <v>0</v>
      </c>
      <c r="R220" s="1641"/>
      <c r="S220" s="1687"/>
      <c r="T220" s="1687"/>
      <c r="U220" s="1693"/>
    </row>
    <row r="221" spans="1:21" ht="14.85" hidden="1" customHeight="1" x14ac:dyDescent="0.2">
      <c r="A221" s="1749"/>
      <c r="B221" s="1725"/>
      <c r="C221" s="1750"/>
      <c r="D221" s="1743"/>
      <c r="E221" s="1639"/>
      <c r="F221" s="1618"/>
      <c r="G221" s="101" t="s">
        <v>130</v>
      </c>
      <c r="H221" s="123"/>
      <c r="I221" s="124"/>
      <c r="J221" s="124"/>
      <c r="K221" s="125"/>
      <c r="L221" s="126"/>
      <c r="M221" s="124"/>
      <c r="N221" s="124"/>
      <c r="O221" s="122"/>
      <c r="P221" s="127"/>
      <c r="Q221" s="127"/>
      <c r="R221" s="1641"/>
      <c r="S221" s="1687"/>
      <c r="T221" s="1687"/>
      <c r="U221" s="1693"/>
    </row>
    <row r="222" spans="1:21" ht="14.85" hidden="1" customHeight="1" x14ac:dyDescent="0.2">
      <c r="A222" s="1749"/>
      <c r="B222" s="1725"/>
      <c r="C222" s="1750"/>
      <c r="D222" s="1743"/>
      <c r="E222" s="1639"/>
      <c r="F222" s="1618"/>
      <c r="G222" s="101" t="s">
        <v>71</v>
      </c>
      <c r="H222" s="123"/>
      <c r="I222" s="124"/>
      <c r="J222" s="124"/>
      <c r="K222" s="125"/>
      <c r="L222" s="126"/>
      <c r="M222" s="124"/>
      <c r="N222" s="124"/>
      <c r="O222" s="122"/>
      <c r="P222" s="127"/>
      <c r="Q222" s="127"/>
      <c r="R222" s="1641"/>
      <c r="S222" s="1687"/>
      <c r="T222" s="1687"/>
      <c r="U222" s="1693"/>
    </row>
    <row r="223" spans="1:21" ht="14.85" hidden="1" customHeight="1" x14ac:dyDescent="0.2">
      <c r="A223" s="1749"/>
      <c r="B223" s="1725"/>
      <c r="C223" s="1750"/>
      <c r="D223" s="1743"/>
      <c r="E223" s="1639"/>
      <c r="F223" s="1618"/>
      <c r="G223" s="13" t="s">
        <v>36</v>
      </c>
      <c r="H223" s="191"/>
      <c r="I223" s="215"/>
      <c r="J223" s="215"/>
      <c r="K223" s="216"/>
      <c r="L223" s="49"/>
      <c r="M223" s="215"/>
      <c r="N223" s="215"/>
      <c r="O223" s="23"/>
      <c r="P223" s="14"/>
      <c r="Q223" s="21"/>
      <c r="R223" s="1641"/>
      <c r="S223" s="1687"/>
      <c r="T223" s="1687"/>
      <c r="U223" s="1693"/>
    </row>
    <row r="224" spans="1:21" ht="14.85" hidden="1" customHeight="1" x14ac:dyDescent="0.2">
      <c r="A224" s="1749"/>
      <c r="B224" s="1725"/>
      <c r="C224" s="1750"/>
      <c r="D224" s="1743"/>
      <c r="E224" s="1639"/>
      <c r="F224" s="1618"/>
      <c r="G224" s="13" t="s">
        <v>72</v>
      </c>
      <c r="H224" s="191"/>
      <c r="I224" s="215"/>
      <c r="J224" s="215"/>
      <c r="K224" s="216"/>
      <c r="L224" s="49"/>
      <c r="M224" s="215"/>
      <c r="N224" s="215"/>
      <c r="O224" s="23"/>
      <c r="P224" s="14"/>
      <c r="Q224" s="21"/>
      <c r="R224" s="1641"/>
      <c r="S224" s="1687"/>
      <c r="T224" s="1687"/>
      <c r="U224" s="1693"/>
    </row>
    <row r="225" spans="1:27" ht="14.85" hidden="1" customHeight="1" x14ac:dyDescent="0.2">
      <c r="A225" s="1634"/>
      <c r="B225" s="1635"/>
      <c r="C225" s="1702"/>
      <c r="D225" s="1696"/>
      <c r="E225" s="1695"/>
      <c r="F225" s="1619"/>
      <c r="G225" s="24" t="s">
        <v>13</v>
      </c>
      <c r="H225" s="28">
        <f>+H218+H219+H220+H223+H224</f>
        <v>0</v>
      </c>
      <c r="I225" s="26">
        <f t="shared" ref="I225:Q225" si="60">+I218+I219+I220+I223+I224</f>
        <v>0</v>
      </c>
      <c r="J225" s="26">
        <f t="shared" si="60"/>
        <v>0</v>
      </c>
      <c r="K225" s="31">
        <f t="shared" si="60"/>
        <v>0</v>
      </c>
      <c r="L225" s="27">
        <f t="shared" si="60"/>
        <v>0</v>
      </c>
      <c r="M225" s="26">
        <f t="shared" si="60"/>
        <v>0</v>
      </c>
      <c r="N225" s="26">
        <f t="shared" si="60"/>
        <v>0</v>
      </c>
      <c r="O225" s="30">
        <f t="shared" si="60"/>
        <v>0</v>
      </c>
      <c r="P225" s="32">
        <f t="shared" si="60"/>
        <v>0</v>
      </c>
      <c r="Q225" s="25">
        <f t="shared" si="60"/>
        <v>0</v>
      </c>
      <c r="R225" s="1641"/>
      <c r="S225" s="26">
        <f>SUM(S218:S218)</f>
        <v>0</v>
      </c>
      <c r="T225" s="26">
        <f>SUM(T218:T218)</f>
        <v>0</v>
      </c>
      <c r="U225" s="31">
        <f>SUM(U218:U218)</f>
        <v>0</v>
      </c>
    </row>
    <row r="226" spans="1:27" ht="14.85" hidden="1" customHeight="1" x14ac:dyDescent="0.2">
      <c r="A226" s="1749" t="s">
        <v>17</v>
      </c>
      <c r="B226" s="1725" t="s">
        <v>19</v>
      </c>
      <c r="C226" s="1750">
        <v>10</v>
      </c>
      <c r="D226" s="1743" t="s">
        <v>151</v>
      </c>
      <c r="E226" s="1639" t="s">
        <v>55</v>
      </c>
      <c r="F226" s="1618">
        <v>1</v>
      </c>
      <c r="G226" s="23" t="s">
        <v>30</v>
      </c>
      <c r="H226" s="191"/>
      <c r="I226" s="215"/>
      <c r="J226" s="215"/>
      <c r="K226" s="216"/>
      <c r="L226" s="49"/>
      <c r="M226" s="215"/>
      <c r="N226" s="215"/>
      <c r="O226" s="23"/>
      <c r="P226" s="14"/>
      <c r="Q226" s="21"/>
      <c r="R226" s="1641" t="s">
        <v>149</v>
      </c>
      <c r="S226" s="1687"/>
      <c r="T226" s="1687"/>
      <c r="U226" s="1693"/>
    </row>
    <row r="227" spans="1:27" ht="14.85" hidden="1" customHeight="1" x14ac:dyDescent="0.2">
      <c r="A227" s="1749"/>
      <c r="B227" s="1725"/>
      <c r="C227" s="1750"/>
      <c r="D227" s="1743"/>
      <c r="E227" s="1639"/>
      <c r="F227" s="1618"/>
      <c r="G227" s="13" t="s">
        <v>73</v>
      </c>
      <c r="H227" s="191"/>
      <c r="I227" s="215"/>
      <c r="J227" s="215"/>
      <c r="K227" s="216"/>
      <c r="L227" s="49"/>
      <c r="M227" s="215"/>
      <c r="N227" s="215"/>
      <c r="O227" s="23"/>
      <c r="P227" s="14"/>
      <c r="Q227" s="21"/>
      <c r="R227" s="1641"/>
      <c r="S227" s="1687"/>
      <c r="T227" s="1687"/>
      <c r="U227" s="1693"/>
    </row>
    <row r="228" spans="1:27" ht="14.85" hidden="1" customHeight="1" x14ac:dyDescent="0.2">
      <c r="A228" s="1749"/>
      <c r="B228" s="1725"/>
      <c r="C228" s="1750"/>
      <c r="D228" s="1743"/>
      <c r="E228" s="1639"/>
      <c r="F228" s="1618"/>
      <c r="G228" s="15" t="s">
        <v>59</v>
      </c>
      <c r="H228" s="16"/>
      <c r="I228" s="17"/>
      <c r="J228" s="17"/>
      <c r="K228" s="19"/>
      <c r="L228" s="50">
        <f t="shared" ref="L228:Q228" si="61">+L229+L230</f>
        <v>0</v>
      </c>
      <c r="M228" s="17">
        <f t="shared" si="61"/>
        <v>0</v>
      </c>
      <c r="N228" s="17">
        <f t="shared" si="61"/>
        <v>0</v>
      </c>
      <c r="O228" s="18">
        <f t="shared" si="61"/>
        <v>0</v>
      </c>
      <c r="P228" s="20">
        <f t="shared" si="61"/>
        <v>0</v>
      </c>
      <c r="Q228" s="37">
        <f t="shared" si="61"/>
        <v>0</v>
      </c>
      <c r="R228" s="1641"/>
      <c r="S228" s="1687"/>
      <c r="T228" s="1687"/>
      <c r="U228" s="1693"/>
    </row>
    <row r="229" spans="1:27" ht="14.85" hidden="1" customHeight="1" x14ac:dyDescent="0.2">
      <c r="A229" s="1749"/>
      <c r="B229" s="1725"/>
      <c r="C229" s="1750"/>
      <c r="D229" s="1743"/>
      <c r="E229" s="1639"/>
      <c r="F229" s="1618"/>
      <c r="G229" s="101" t="s">
        <v>130</v>
      </c>
      <c r="H229" s="97"/>
      <c r="I229" s="98"/>
      <c r="J229" s="98"/>
      <c r="K229" s="113"/>
      <c r="L229" s="110"/>
      <c r="M229" s="98"/>
      <c r="N229" s="98"/>
      <c r="O229" s="100"/>
      <c r="P229" s="99"/>
      <c r="Q229" s="103"/>
      <c r="R229" s="1641"/>
      <c r="S229" s="1687"/>
      <c r="T229" s="1687"/>
      <c r="U229" s="1693"/>
    </row>
    <row r="230" spans="1:27" ht="14.85" hidden="1" customHeight="1" x14ac:dyDescent="0.2">
      <c r="A230" s="1749"/>
      <c r="B230" s="1725"/>
      <c r="C230" s="1750"/>
      <c r="D230" s="1743"/>
      <c r="E230" s="1639"/>
      <c r="F230" s="1618"/>
      <c r="G230" s="101" t="s">
        <v>71</v>
      </c>
      <c r="H230" s="97"/>
      <c r="I230" s="98"/>
      <c r="J230" s="98"/>
      <c r="K230" s="113"/>
      <c r="L230" s="110"/>
      <c r="M230" s="98"/>
      <c r="N230" s="98"/>
      <c r="O230" s="100"/>
      <c r="P230" s="99"/>
      <c r="Q230" s="103"/>
      <c r="R230" s="1641"/>
      <c r="S230" s="1687"/>
      <c r="T230" s="1687"/>
      <c r="U230" s="1693"/>
    </row>
    <row r="231" spans="1:27" ht="14.85" hidden="1" customHeight="1" x14ac:dyDescent="0.2">
      <c r="A231" s="1749"/>
      <c r="B231" s="1725"/>
      <c r="C231" s="1750"/>
      <c r="D231" s="1743"/>
      <c r="E231" s="1639"/>
      <c r="F231" s="1618"/>
      <c r="G231" s="13" t="s">
        <v>36</v>
      </c>
      <c r="H231" s="191"/>
      <c r="I231" s="215"/>
      <c r="J231" s="215"/>
      <c r="K231" s="216"/>
      <c r="L231" s="49"/>
      <c r="M231" s="215"/>
      <c r="N231" s="215"/>
      <c r="O231" s="23"/>
      <c r="P231" s="14"/>
      <c r="Q231" s="21"/>
      <c r="R231" s="1641"/>
      <c r="S231" s="1687"/>
      <c r="T231" s="1687"/>
      <c r="U231" s="1693"/>
    </row>
    <row r="232" spans="1:27" ht="14.85" hidden="1" customHeight="1" x14ac:dyDescent="0.2">
      <c r="A232" s="1749"/>
      <c r="B232" s="1725"/>
      <c r="C232" s="1750"/>
      <c r="D232" s="1743"/>
      <c r="E232" s="1639"/>
      <c r="F232" s="1618"/>
      <c r="G232" s="13" t="s">
        <v>72</v>
      </c>
      <c r="H232" s="191"/>
      <c r="I232" s="215"/>
      <c r="J232" s="215"/>
      <c r="K232" s="216"/>
      <c r="L232" s="49"/>
      <c r="M232" s="215"/>
      <c r="N232" s="215"/>
      <c r="O232" s="23"/>
      <c r="P232" s="14"/>
      <c r="Q232" s="21"/>
      <c r="R232" s="1641"/>
      <c r="S232" s="1687"/>
      <c r="T232" s="1687"/>
      <c r="U232" s="1693"/>
    </row>
    <row r="233" spans="1:27" ht="14.85" hidden="1" customHeight="1" x14ac:dyDescent="0.2">
      <c r="A233" s="1634"/>
      <c r="B233" s="1635"/>
      <c r="C233" s="1702"/>
      <c r="D233" s="1696"/>
      <c r="E233" s="1695"/>
      <c r="F233" s="1619"/>
      <c r="G233" s="24" t="s">
        <v>13</v>
      </c>
      <c r="H233" s="28">
        <f>+H226+H227+H228+H231+H232</f>
        <v>0</v>
      </c>
      <c r="I233" s="26">
        <f t="shared" ref="I233:Q233" si="62">+I226+I227+I228+I231+I232</f>
        <v>0</v>
      </c>
      <c r="J233" s="26">
        <f t="shared" si="62"/>
        <v>0</v>
      </c>
      <c r="K233" s="31">
        <f t="shared" si="62"/>
        <v>0</v>
      </c>
      <c r="L233" s="27">
        <f t="shared" si="62"/>
        <v>0</v>
      </c>
      <c r="M233" s="26">
        <f t="shared" si="62"/>
        <v>0</v>
      </c>
      <c r="N233" s="26">
        <f t="shared" si="62"/>
        <v>0</v>
      </c>
      <c r="O233" s="30">
        <f t="shared" si="62"/>
        <v>0</v>
      </c>
      <c r="P233" s="32">
        <f t="shared" si="62"/>
        <v>0</v>
      </c>
      <c r="Q233" s="25">
        <f t="shared" si="62"/>
        <v>0</v>
      </c>
      <c r="R233" s="1641"/>
      <c r="S233" s="26">
        <f>SUM(S226:S226)</f>
        <v>0</v>
      </c>
      <c r="T233" s="26">
        <f>SUM(T226:T226)</f>
        <v>0</v>
      </c>
      <c r="U233" s="31">
        <f>SUM(U226:U226)</f>
        <v>0</v>
      </c>
    </row>
    <row r="234" spans="1:27" s="52" customFormat="1" ht="14.85" customHeight="1" x14ac:dyDescent="0.2">
      <c r="A234" s="1634" t="s">
        <v>17</v>
      </c>
      <c r="B234" s="1606" t="s">
        <v>19</v>
      </c>
      <c r="C234" s="1728" t="s">
        <v>32</v>
      </c>
      <c r="D234" s="1701" t="s">
        <v>157</v>
      </c>
      <c r="E234" s="1695" t="s">
        <v>56</v>
      </c>
      <c r="F234" s="1618">
        <v>1</v>
      </c>
      <c r="G234" s="23" t="s">
        <v>30</v>
      </c>
      <c r="H234" s="191"/>
      <c r="I234" s="215"/>
      <c r="J234" s="215"/>
      <c r="K234" s="216"/>
      <c r="L234" s="49"/>
      <c r="M234" s="215"/>
      <c r="N234" s="215"/>
      <c r="O234" s="23">
        <f>+L234-M234</f>
        <v>0</v>
      </c>
      <c r="P234" s="14">
        <v>697.12</v>
      </c>
      <c r="Q234" s="21">
        <v>139.43</v>
      </c>
      <c r="R234" s="1641" t="s">
        <v>117</v>
      </c>
      <c r="S234" s="1687"/>
      <c r="T234" s="1687"/>
      <c r="U234" s="1748" t="s">
        <v>202</v>
      </c>
      <c r="V234" s="51"/>
      <c r="W234" s="51"/>
    </row>
    <row r="235" spans="1:27" s="52" customFormat="1" ht="14.85" customHeight="1" x14ac:dyDescent="0.2">
      <c r="A235" s="1634"/>
      <c r="B235" s="1607"/>
      <c r="C235" s="1728"/>
      <c r="D235" s="1701"/>
      <c r="E235" s="1695"/>
      <c r="F235" s="1618"/>
      <c r="G235" s="13" t="s">
        <v>73</v>
      </c>
      <c r="H235" s="191"/>
      <c r="I235" s="215"/>
      <c r="J235" s="215"/>
      <c r="K235" s="216"/>
      <c r="L235" s="49"/>
      <c r="M235" s="215"/>
      <c r="N235" s="215"/>
      <c r="O235" s="23">
        <f t="shared" ref="O235:O236" si="63">+L235-M235</f>
        <v>0</v>
      </c>
      <c r="P235" s="14">
        <v>61.51</v>
      </c>
      <c r="Q235" s="21">
        <v>12.3</v>
      </c>
      <c r="R235" s="1641"/>
      <c r="S235" s="1687"/>
      <c r="T235" s="1687"/>
      <c r="U235" s="1748"/>
      <c r="V235" s="51"/>
      <c r="W235" s="51"/>
    </row>
    <row r="236" spans="1:27" s="52" customFormat="1" ht="14.85" customHeight="1" x14ac:dyDescent="0.2">
      <c r="A236" s="1634"/>
      <c r="B236" s="1607"/>
      <c r="C236" s="1728"/>
      <c r="D236" s="1701"/>
      <c r="E236" s="1695"/>
      <c r="F236" s="1618"/>
      <c r="G236" s="15" t="s">
        <v>59</v>
      </c>
      <c r="H236" s="16">
        <f>+H237+H238</f>
        <v>7</v>
      </c>
      <c r="I236" s="17">
        <f t="shared" ref="I236:K236" si="64">+I237+I238</f>
        <v>0</v>
      </c>
      <c r="J236" s="17">
        <f t="shared" si="64"/>
        <v>0</v>
      </c>
      <c r="K236" s="19">
        <f t="shared" si="64"/>
        <v>7</v>
      </c>
      <c r="L236" s="50">
        <f>+L237+L238</f>
        <v>7</v>
      </c>
      <c r="M236" s="17">
        <f t="shared" ref="M236:N236" si="65">+M237+M238</f>
        <v>0</v>
      </c>
      <c r="N236" s="17">
        <f t="shared" si="65"/>
        <v>0</v>
      </c>
      <c r="O236" s="18">
        <f t="shared" si="63"/>
        <v>7</v>
      </c>
      <c r="P236" s="20">
        <f t="shared" ref="P236:Q236" si="66">+P237+P238</f>
        <v>61.51</v>
      </c>
      <c r="Q236" s="37">
        <f t="shared" si="66"/>
        <v>12.3</v>
      </c>
      <c r="R236" s="1641"/>
      <c r="S236" s="1687"/>
      <c r="T236" s="1687"/>
      <c r="U236" s="1748"/>
      <c r="V236" s="51"/>
      <c r="W236" s="51"/>
    </row>
    <row r="237" spans="1:27" s="52" customFormat="1" ht="14.85" customHeight="1" x14ac:dyDescent="0.2">
      <c r="A237" s="1634"/>
      <c r="B237" s="1607"/>
      <c r="C237" s="1728"/>
      <c r="D237" s="1701"/>
      <c r="E237" s="1695"/>
      <c r="F237" s="1618"/>
      <c r="G237" s="101" t="s">
        <v>130</v>
      </c>
      <c r="H237" s="141"/>
      <c r="I237" s="142"/>
      <c r="J237" s="142"/>
      <c r="K237" s="143"/>
      <c r="L237" s="155"/>
      <c r="M237" s="142"/>
      <c r="N237" s="142"/>
      <c r="O237" s="156"/>
      <c r="P237" s="157"/>
      <c r="Q237" s="158"/>
      <c r="R237" s="1641"/>
      <c r="S237" s="1687"/>
      <c r="T237" s="1687"/>
      <c r="U237" s="1748"/>
      <c r="V237" s="1746"/>
      <c r="W237" s="1747"/>
      <c r="X237" s="1747"/>
      <c r="Y237" s="1747"/>
      <c r="Z237" s="1747"/>
      <c r="AA237" s="1747"/>
    </row>
    <row r="238" spans="1:27" s="52" customFormat="1" ht="14.85" customHeight="1" x14ac:dyDescent="0.2">
      <c r="A238" s="1634"/>
      <c r="B238" s="1607"/>
      <c r="C238" s="1728"/>
      <c r="D238" s="1701"/>
      <c r="E238" s="1695"/>
      <c r="F238" s="1618"/>
      <c r="G238" s="101" t="s">
        <v>71</v>
      </c>
      <c r="H238" s="191">
        <v>7</v>
      </c>
      <c r="I238" s="215"/>
      <c r="J238" s="215"/>
      <c r="K238" s="216">
        <v>7</v>
      </c>
      <c r="L238" s="49">
        <v>7</v>
      </c>
      <c r="M238" s="215"/>
      <c r="N238" s="215"/>
      <c r="O238" s="23">
        <v>7</v>
      </c>
      <c r="P238" s="14">
        <v>61.51</v>
      </c>
      <c r="Q238" s="21">
        <v>12.3</v>
      </c>
      <c r="R238" s="1641"/>
      <c r="S238" s="1687"/>
      <c r="T238" s="1687"/>
      <c r="U238" s="1748"/>
      <c r="V238" s="51"/>
      <c r="W238" s="51"/>
    </row>
    <row r="239" spans="1:27" s="52" customFormat="1" ht="14.85" customHeight="1" x14ac:dyDescent="0.2">
      <c r="A239" s="1634"/>
      <c r="B239" s="1607"/>
      <c r="C239" s="1728"/>
      <c r="D239" s="1701"/>
      <c r="E239" s="1695"/>
      <c r="F239" s="1618"/>
      <c r="G239" s="13" t="s">
        <v>36</v>
      </c>
      <c r="H239" s="191"/>
      <c r="I239" s="215"/>
      <c r="J239" s="215"/>
      <c r="K239" s="216"/>
      <c r="L239" s="49"/>
      <c r="M239" s="215"/>
      <c r="N239" s="215"/>
      <c r="O239" s="23"/>
      <c r="P239" s="14"/>
      <c r="Q239" s="21"/>
      <c r="R239" s="1641"/>
      <c r="S239" s="1687"/>
      <c r="T239" s="1687"/>
      <c r="U239" s="1748"/>
      <c r="V239" s="51"/>
      <c r="W239" s="51"/>
    </row>
    <row r="240" spans="1:27" s="52" customFormat="1" ht="14.85" customHeight="1" x14ac:dyDescent="0.2">
      <c r="A240" s="1634"/>
      <c r="B240" s="1607"/>
      <c r="C240" s="1728"/>
      <c r="D240" s="1701"/>
      <c r="E240" s="1695"/>
      <c r="F240" s="1618"/>
      <c r="G240" s="13" t="s">
        <v>72</v>
      </c>
      <c r="H240" s="191"/>
      <c r="I240" s="215"/>
      <c r="J240" s="215"/>
      <c r="K240" s="216"/>
      <c r="L240" s="49"/>
      <c r="M240" s="215"/>
      <c r="N240" s="215"/>
      <c r="O240" s="23"/>
      <c r="P240" s="14"/>
      <c r="Q240" s="21"/>
      <c r="R240" s="1641"/>
      <c r="S240" s="1687"/>
      <c r="T240" s="1687"/>
      <c r="U240" s="1748"/>
      <c r="V240" s="51"/>
      <c r="W240" s="51"/>
    </row>
    <row r="241" spans="1:23" s="52" customFormat="1" ht="14.85" customHeight="1" x14ac:dyDescent="0.2">
      <c r="A241" s="1603"/>
      <c r="B241" s="1607"/>
      <c r="C241" s="1699"/>
      <c r="D241" s="1679"/>
      <c r="E241" s="1615"/>
      <c r="F241" s="1619"/>
      <c r="G241" s="24" t="s">
        <v>13</v>
      </c>
      <c r="H241" s="28">
        <f>+H234+H235+H236+H239+H240</f>
        <v>7</v>
      </c>
      <c r="I241" s="26">
        <f t="shared" ref="I241:Q241" si="67">+I234+I235+I236+I239+I240</f>
        <v>0</v>
      </c>
      <c r="J241" s="26">
        <f t="shared" si="67"/>
        <v>0</v>
      </c>
      <c r="K241" s="31">
        <f t="shared" si="67"/>
        <v>7</v>
      </c>
      <c r="L241" s="27">
        <f t="shared" si="67"/>
        <v>7</v>
      </c>
      <c r="M241" s="26">
        <f t="shared" si="67"/>
        <v>0</v>
      </c>
      <c r="N241" s="26">
        <f t="shared" si="67"/>
        <v>0</v>
      </c>
      <c r="O241" s="30">
        <f t="shared" si="67"/>
        <v>7</v>
      </c>
      <c r="P241" s="32">
        <f t="shared" si="67"/>
        <v>820.14</v>
      </c>
      <c r="Q241" s="25">
        <f t="shared" si="67"/>
        <v>164.03000000000003</v>
      </c>
      <c r="R241" s="1641"/>
      <c r="S241" s="26">
        <f>SUM(S234)</f>
        <v>0</v>
      </c>
      <c r="T241" s="26">
        <f>SUM(T234)</f>
        <v>0</v>
      </c>
      <c r="U241" s="31"/>
      <c r="V241" s="51"/>
      <c r="W241" s="51"/>
    </row>
    <row r="242" spans="1:23" ht="14.85" customHeight="1" x14ac:dyDescent="0.2">
      <c r="A242" s="1634" t="s">
        <v>17</v>
      </c>
      <c r="B242" s="1606" t="s">
        <v>19</v>
      </c>
      <c r="C242" s="1699" t="s">
        <v>41</v>
      </c>
      <c r="D242" s="1701" t="s">
        <v>190</v>
      </c>
      <c r="E242" s="1695" t="s">
        <v>56</v>
      </c>
      <c r="F242" s="1618">
        <v>1</v>
      </c>
      <c r="G242" s="23" t="s">
        <v>30</v>
      </c>
      <c r="H242" s="191"/>
      <c r="I242" s="215"/>
      <c r="J242" s="215"/>
      <c r="K242" s="216"/>
      <c r="L242" s="49"/>
      <c r="M242" s="215"/>
      <c r="N242" s="215"/>
      <c r="O242" s="23"/>
      <c r="P242" s="206"/>
      <c r="Q242" s="21"/>
      <c r="R242" s="1641" t="s">
        <v>48</v>
      </c>
      <c r="S242" s="1687"/>
      <c r="T242" s="1687"/>
      <c r="U242" s="1693"/>
    </row>
    <row r="243" spans="1:23" ht="14.85" customHeight="1" x14ac:dyDescent="0.2">
      <c r="A243" s="1634"/>
      <c r="B243" s="1607"/>
      <c r="C243" s="1728"/>
      <c r="D243" s="1701"/>
      <c r="E243" s="1695"/>
      <c r="F243" s="1618"/>
      <c r="G243" s="13" t="s">
        <v>73</v>
      </c>
      <c r="H243" s="191"/>
      <c r="I243" s="215"/>
      <c r="J243" s="215"/>
      <c r="K243" s="216"/>
      <c r="L243" s="49"/>
      <c r="M243" s="215"/>
      <c r="N243" s="215"/>
      <c r="O243" s="23"/>
      <c r="P243" s="206">
        <v>232</v>
      </c>
      <c r="Q243" s="21"/>
      <c r="R243" s="1641"/>
      <c r="S243" s="1687"/>
      <c r="T243" s="1687"/>
      <c r="U243" s="1693"/>
    </row>
    <row r="244" spans="1:23" ht="14.85" customHeight="1" x14ac:dyDescent="0.2">
      <c r="A244" s="1634"/>
      <c r="B244" s="1607"/>
      <c r="C244" s="1728"/>
      <c r="D244" s="1701"/>
      <c r="E244" s="1695"/>
      <c r="F244" s="1618"/>
      <c r="G244" s="15" t="s">
        <v>59</v>
      </c>
      <c r="H244" s="16">
        <f>+H245+H246</f>
        <v>0</v>
      </c>
      <c r="I244" s="17">
        <f t="shared" ref="I244:Q244" si="68">+I245+I246</f>
        <v>0</v>
      </c>
      <c r="J244" s="17">
        <f t="shared" si="68"/>
        <v>0</v>
      </c>
      <c r="K244" s="19">
        <f t="shared" si="68"/>
        <v>0</v>
      </c>
      <c r="L244" s="50"/>
      <c r="M244" s="17"/>
      <c r="N244" s="17"/>
      <c r="O244" s="18"/>
      <c r="P244" s="208">
        <f t="shared" si="68"/>
        <v>58</v>
      </c>
      <c r="Q244" s="37">
        <f t="shared" si="68"/>
        <v>0</v>
      </c>
      <c r="R244" s="1641"/>
      <c r="S244" s="1687"/>
      <c r="T244" s="1687"/>
      <c r="U244" s="1693"/>
    </row>
    <row r="245" spans="1:23" ht="14.85" customHeight="1" x14ac:dyDescent="0.2">
      <c r="A245" s="1634"/>
      <c r="B245" s="1607"/>
      <c r="C245" s="1728"/>
      <c r="D245" s="1701"/>
      <c r="E245" s="1695"/>
      <c r="F245" s="1618"/>
      <c r="G245" s="101" t="s">
        <v>130</v>
      </c>
      <c r="H245" s="123"/>
      <c r="I245" s="124"/>
      <c r="J245" s="124"/>
      <c r="K245" s="125"/>
      <c r="L245" s="126"/>
      <c r="M245" s="124"/>
      <c r="N245" s="124"/>
      <c r="O245" s="122"/>
      <c r="P245" s="206">
        <v>58</v>
      </c>
      <c r="Q245" s="128"/>
      <c r="R245" s="1641"/>
      <c r="S245" s="1687"/>
      <c r="T245" s="1687"/>
      <c r="U245" s="1693"/>
    </row>
    <row r="246" spans="1:23" ht="14.85" customHeight="1" x14ac:dyDescent="0.2">
      <c r="A246" s="1634"/>
      <c r="B246" s="1607"/>
      <c r="C246" s="1728"/>
      <c r="D246" s="1701"/>
      <c r="E246" s="1695"/>
      <c r="F246" s="1618"/>
      <c r="G246" s="101" t="s">
        <v>71</v>
      </c>
      <c r="H246" s="123"/>
      <c r="I246" s="124"/>
      <c r="J246" s="124"/>
      <c r="K246" s="125"/>
      <c r="L246" s="126"/>
      <c r="M246" s="124"/>
      <c r="N246" s="124"/>
      <c r="O246" s="122"/>
      <c r="P246" s="209"/>
      <c r="Q246" s="128"/>
      <c r="R246" s="1641"/>
      <c r="S246" s="1687"/>
      <c r="T246" s="1687"/>
      <c r="U246" s="1693"/>
    </row>
    <row r="247" spans="1:23" ht="14.85" customHeight="1" x14ac:dyDescent="0.2">
      <c r="A247" s="1634"/>
      <c r="B247" s="1607"/>
      <c r="C247" s="1728"/>
      <c r="D247" s="1701"/>
      <c r="E247" s="1695"/>
      <c r="F247" s="1618"/>
      <c r="G247" s="13" t="s">
        <v>36</v>
      </c>
      <c r="H247" s="191"/>
      <c r="I247" s="215"/>
      <c r="J247" s="215"/>
      <c r="K247" s="216"/>
      <c r="L247" s="49"/>
      <c r="M247" s="215"/>
      <c r="N247" s="215"/>
      <c r="O247" s="23"/>
      <c r="P247" s="206"/>
      <c r="Q247" s="21"/>
      <c r="R247" s="1641"/>
      <c r="S247" s="1687"/>
      <c r="T247" s="1687"/>
      <c r="U247" s="1693"/>
    </row>
    <row r="248" spans="1:23" ht="14.85" customHeight="1" x14ac:dyDescent="0.2">
      <c r="A248" s="1634"/>
      <c r="B248" s="1607"/>
      <c r="C248" s="1728"/>
      <c r="D248" s="1701"/>
      <c r="E248" s="1695"/>
      <c r="F248" s="1618"/>
      <c r="G248" s="13" t="s">
        <v>72</v>
      </c>
      <c r="H248" s="191"/>
      <c r="I248" s="215"/>
      <c r="J248" s="215"/>
      <c r="K248" s="216"/>
      <c r="L248" s="49"/>
      <c r="M248" s="215"/>
      <c r="N248" s="215"/>
      <c r="O248" s="23"/>
      <c r="P248" s="14"/>
      <c r="Q248" s="21"/>
      <c r="R248" s="1641"/>
      <c r="S248" s="1687"/>
      <c r="T248" s="1687"/>
      <c r="U248" s="1693"/>
    </row>
    <row r="249" spans="1:23" ht="17.25" customHeight="1" x14ac:dyDescent="0.2">
      <c r="A249" s="1634"/>
      <c r="B249" s="1725"/>
      <c r="C249" s="1699"/>
      <c r="D249" s="1701"/>
      <c r="E249" s="1695"/>
      <c r="F249" s="1619"/>
      <c r="G249" s="24" t="s">
        <v>13</v>
      </c>
      <c r="H249" s="28">
        <f>+H242+H243+H244+H247+H248</f>
        <v>0</v>
      </c>
      <c r="I249" s="26">
        <f t="shared" ref="I249:Q249" si="69">+I242+I243+I244+I247+I248</f>
        <v>0</v>
      </c>
      <c r="J249" s="26">
        <f t="shared" si="69"/>
        <v>0</v>
      </c>
      <c r="K249" s="31">
        <f t="shared" si="69"/>
        <v>0</v>
      </c>
      <c r="L249" s="27">
        <f t="shared" si="69"/>
        <v>0</v>
      </c>
      <c r="M249" s="26">
        <f t="shared" si="69"/>
        <v>0</v>
      </c>
      <c r="N249" s="26">
        <f t="shared" si="69"/>
        <v>0</v>
      </c>
      <c r="O249" s="30">
        <f t="shared" si="69"/>
        <v>0</v>
      </c>
      <c r="P249" s="32">
        <f t="shared" si="69"/>
        <v>290</v>
      </c>
      <c r="Q249" s="25">
        <f t="shared" si="69"/>
        <v>0</v>
      </c>
      <c r="R249" s="1641"/>
      <c r="S249" s="26">
        <f>SUM(S242)</f>
        <v>0</v>
      </c>
      <c r="T249" s="26">
        <f>SUM(T242)</f>
        <v>0</v>
      </c>
      <c r="U249" s="31"/>
    </row>
    <row r="250" spans="1:23" ht="15" customHeight="1" x14ac:dyDescent="0.2">
      <c r="A250" s="1727" t="s">
        <v>17</v>
      </c>
      <c r="B250" s="1606" t="s">
        <v>19</v>
      </c>
      <c r="C250" s="1699" t="s">
        <v>42</v>
      </c>
      <c r="D250" s="1701" t="s">
        <v>83</v>
      </c>
      <c r="E250" s="1615" t="s">
        <v>56</v>
      </c>
      <c r="F250" s="1618">
        <v>1</v>
      </c>
      <c r="G250" s="23" t="s">
        <v>30</v>
      </c>
      <c r="H250" s="191"/>
      <c r="I250" s="215"/>
      <c r="J250" s="215"/>
      <c r="K250" s="216"/>
      <c r="L250" s="49"/>
      <c r="M250" s="215"/>
      <c r="N250" s="215"/>
      <c r="O250" s="23"/>
      <c r="P250" s="14"/>
      <c r="Q250" s="21"/>
      <c r="R250" s="1641" t="s">
        <v>48</v>
      </c>
      <c r="S250" s="1687"/>
      <c r="T250" s="1687"/>
      <c r="U250" s="1693"/>
    </row>
    <row r="251" spans="1:23" ht="15" customHeight="1" x14ac:dyDescent="0.2">
      <c r="A251" s="1727"/>
      <c r="B251" s="1607"/>
      <c r="C251" s="1728"/>
      <c r="D251" s="1701"/>
      <c r="E251" s="1616"/>
      <c r="F251" s="1618"/>
      <c r="G251" s="13" t="s">
        <v>73</v>
      </c>
      <c r="H251" s="191"/>
      <c r="I251" s="215"/>
      <c r="J251" s="215"/>
      <c r="K251" s="216"/>
      <c r="L251" s="49"/>
      <c r="M251" s="215"/>
      <c r="N251" s="215"/>
      <c r="O251" s="23"/>
      <c r="P251" s="14"/>
      <c r="Q251" s="21"/>
      <c r="R251" s="1641"/>
      <c r="S251" s="1687"/>
      <c r="T251" s="1687"/>
      <c r="U251" s="1693"/>
    </row>
    <row r="252" spans="1:23" ht="15" customHeight="1" x14ac:dyDescent="0.2">
      <c r="A252" s="1727"/>
      <c r="B252" s="1607"/>
      <c r="C252" s="1728"/>
      <c r="D252" s="1701"/>
      <c r="E252" s="1616"/>
      <c r="F252" s="1618"/>
      <c r="G252" s="15" t="s">
        <v>59</v>
      </c>
      <c r="H252" s="16">
        <f>+H253+H254</f>
        <v>0</v>
      </c>
      <c r="I252" s="17">
        <f t="shared" ref="I252:Q252" si="70">+I253+I254</f>
        <v>0</v>
      </c>
      <c r="J252" s="17">
        <f t="shared" si="70"/>
        <v>0</v>
      </c>
      <c r="K252" s="19">
        <f t="shared" si="70"/>
        <v>0</v>
      </c>
      <c r="L252" s="50">
        <f t="shared" si="70"/>
        <v>0</v>
      </c>
      <c r="M252" s="17">
        <f t="shared" si="70"/>
        <v>0</v>
      </c>
      <c r="N252" s="17">
        <f t="shared" si="70"/>
        <v>0</v>
      </c>
      <c r="O252" s="18">
        <f t="shared" si="70"/>
        <v>0</v>
      </c>
      <c r="P252" s="20">
        <f t="shared" si="70"/>
        <v>11.6</v>
      </c>
      <c r="Q252" s="37">
        <f t="shared" si="70"/>
        <v>115.8</v>
      </c>
      <c r="R252" s="1641"/>
      <c r="S252" s="1687"/>
      <c r="T252" s="1687"/>
      <c r="U252" s="1693"/>
    </row>
    <row r="253" spans="1:23" ht="15" customHeight="1" x14ac:dyDescent="0.2">
      <c r="A253" s="1727"/>
      <c r="B253" s="1607"/>
      <c r="C253" s="1728"/>
      <c r="D253" s="1701"/>
      <c r="E253" s="1616"/>
      <c r="F253" s="1618"/>
      <c r="G253" s="101" t="s">
        <v>130</v>
      </c>
      <c r="H253" s="123"/>
      <c r="I253" s="124"/>
      <c r="J253" s="124"/>
      <c r="K253" s="125"/>
      <c r="L253" s="126"/>
      <c r="M253" s="124"/>
      <c r="N253" s="124"/>
      <c r="O253" s="122"/>
      <c r="P253" s="157"/>
      <c r="Q253" s="158"/>
      <c r="R253" s="1641"/>
      <c r="S253" s="1687"/>
      <c r="T253" s="1687"/>
      <c r="U253" s="1693"/>
    </row>
    <row r="254" spans="1:23" ht="15" customHeight="1" x14ac:dyDescent="0.2">
      <c r="A254" s="1727"/>
      <c r="B254" s="1607"/>
      <c r="C254" s="1728"/>
      <c r="D254" s="1701"/>
      <c r="E254" s="1616"/>
      <c r="F254" s="1618"/>
      <c r="G254" s="101" t="s">
        <v>71</v>
      </c>
      <c r="H254" s="123"/>
      <c r="I254" s="124"/>
      <c r="J254" s="124"/>
      <c r="K254" s="125"/>
      <c r="L254" s="126"/>
      <c r="M254" s="124"/>
      <c r="N254" s="124"/>
      <c r="O254" s="122"/>
      <c r="P254" s="157">
        <f>ROUND(11584.8/1000,1)</f>
        <v>11.6</v>
      </c>
      <c r="Q254" s="158">
        <f>ROUND(115848.01/1000,1)</f>
        <v>115.8</v>
      </c>
      <c r="R254" s="1641"/>
      <c r="S254" s="1687"/>
      <c r="T254" s="1687"/>
      <c r="U254" s="1693"/>
    </row>
    <row r="255" spans="1:23" ht="15" customHeight="1" x14ac:dyDescent="0.2">
      <c r="A255" s="1727"/>
      <c r="B255" s="1607"/>
      <c r="C255" s="1728"/>
      <c r="D255" s="1701"/>
      <c r="E255" s="1616"/>
      <c r="F255" s="1618"/>
      <c r="G255" s="13" t="s">
        <v>36</v>
      </c>
      <c r="H255" s="191"/>
      <c r="I255" s="215"/>
      <c r="J255" s="215"/>
      <c r="K255" s="216"/>
      <c r="L255" s="49"/>
      <c r="M255" s="215"/>
      <c r="N255" s="215"/>
      <c r="O255" s="23"/>
      <c r="P255" s="157">
        <f>ROUND(57924/1000,1)</f>
        <v>57.9</v>
      </c>
      <c r="Q255" s="158">
        <f>ROUND(579240.04/1000,1)</f>
        <v>579.20000000000005</v>
      </c>
      <c r="R255" s="1641"/>
      <c r="S255" s="1687"/>
      <c r="T255" s="1687"/>
      <c r="U255" s="1693"/>
    </row>
    <row r="256" spans="1:23" ht="15" customHeight="1" x14ac:dyDescent="0.2">
      <c r="A256" s="1727"/>
      <c r="B256" s="1607"/>
      <c r="C256" s="1728"/>
      <c r="D256" s="1701"/>
      <c r="E256" s="1616"/>
      <c r="F256" s="1618"/>
      <c r="G256" s="13" t="s">
        <v>72</v>
      </c>
      <c r="H256" s="191"/>
      <c r="I256" s="215"/>
      <c r="J256" s="215"/>
      <c r="K256" s="216"/>
      <c r="L256" s="49"/>
      <c r="M256" s="215"/>
      <c r="N256" s="215"/>
      <c r="O256" s="23"/>
      <c r="P256" s="157"/>
      <c r="Q256" s="158"/>
      <c r="R256" s="1641"/>
      <c r="S256" s="1687"/>
      <c r="T256" s="1687"/>
      <c r="U256" s="1693"/>
    </row>
    <row r="257" spans="1:25" ht="15" customHeight="1" x14ac:dyDescent="0.2">
      <c r="A257" s="1727"/>
      <c r="B257" s="1725"/>
      <c r="C257" s="1699"/>
      <c r="D257" s="1701"/>
      <c r="E257" s="1639"/>
      <c r="F257" s="1619"/>
      <c r="G257" s="24" t="s">
        <v>13</v>
      </c>
      <c r="H257" s="28">
        <f>+H250+H251+H252+H255+H256</f>
        <v>0</v>
      </c>
      <c r="I257" s="26">
        <f t="shared" ref="I257:Q257" si="71">+I250+I251+I252+I255+I256</f>
        <v>0</v>
      </c>
      <c r="J257" s="26">
        <f t="shared" si="71"/>
        <v>0</v>
      </c>
      <c r="K257" s="31">
        <f t="shared" si="71"/>
        <v>0</v>
      </c>
      <c r="L257" s="27">
        <f t="shared" si="71"/>
        <v>0</v>
      </c>
      <c r="M257" s="26">
        <f t="shared" si="71"/>
        <v>0</v>
      </c>
      <c r="N257" s="26">
        <f t="shared" si="71"/>
        <v>0</v>
      </c>
      <c r="O257" s="30">
        <f t="shared" si="71"/>
        <v>0</v>
      </c>
      <c r="P257" s="32">
        <f t="shared" si="71"/>
        <v>69.5</v>
      </c>
      <c r="Q257" s="25">
        <f t="shared" si="71"/>
        <v>695</v>
      </c>
      <c r="R257" s="1641"/>
      <c r="S257" s="26">
        <f>SUM(S250)</f>
        <v>0</v>
      </c>
      <c r="T257" s="26">
        <f>SUM(T250)</f>
        <v>0</v>
      </c>
      <c r="U257" s="31"/>
    </row>
    <row r="258" spans="1:25" s="48" customFormat="1" ht="15" customHeight="1" x14ac:dyDescent="0.2">
      <c r="A258" s="1738">
        <v>1</v>
      </c>
      <c r="B258" s="1606" t="s">
        <v>19</v>
      </c>
      <c r="C258" s="1739" t="s">
        <v>92</v>
      </c>
      <c r="D258" s="1694" t="s">
        <v>106</v>
      </c>
      <c r="E258" s="1695" t="s">
        <v>56</v>
      </c>
      <c r="F258" s="1744">
        <v>1</v>
      </c>
      <c r="G258" s="23" t="s">
        <v>30</v>
      </c>
      <c r="H258" s="191">
        <v>72</v>
      </c>
      <c r="I258" s="215"/>
      <c r="J258" s="215"/>
      <c r="K258" s="216">
        <v>72</v>
      </c>
      <c r="L258" s="49">
        <v>72</v>
      </c>
      <c r="M258" s="215"/>
      <c r="N258" s="215"/>
      <c r="O258" s="23">
        <v>72</v>
      </c>
      <c r="P258" s="14">
        <v>83.8</v>
      </c>
      <c r="Q258" s="21">
        <v>77.3</v>
      </c>
      <c r="R258" s="1641" t="s">
        <v>114</v>
      </c>
      <c r="S258" s="1687">
        <v>9</v>
      </c>
      <c r="T258" s="1687">
        <v>11</v>
      </c>
      <c r="U258" s="1693"/>
      <c r="V258" s="219"/>
      <c r="W258" s="219"/>
    </row>
    <row r="259" spans="1:25" s="48" customFormat="1" ht="15" customHeight="1" x14ac:dyDescent="0.2">
      <c r="A259" s="1738"/>
      <c r="B259" s="1607"/>
      <c r="C259" s="1740"/>
      <c r="D259" s="1694"/>
      <c r="E259" s="1695"/>
      <c r="F259" s="1744"/>
      <c r="G259" s="13" t="s">
        <v>73</v>
      </c>
      <c r="H259" s="191"/>
      <c r="I259" s="215"/>
      <c r="J259" s="215"/>
      <c r="K259" s="216"/>
      <c r="L259" s="49"/>
      <c r="M259" s="215"/>
      <c r="N259" s="215"/>
      <c r="O259" s="23"/>
      <c r="P259" s="14"/>
      <c r="Q259" s="21"/>
      <c r="R259" s="1641"/>
      <c r="S259" s="1687"/>
      <c r="T259" s="1687"/>
      <c r="U259" s="1693"/>
      <c r="V259" s="1736"/>
      <c r="W259" s="1737"/>
      <c r="X259" s="1737"/>
      <c r="Y259" s="1737"/>
    </row>
    <row r="260" spans="1:25" s="48" customFormat="1" ht="15" customHeight="1" x14ac:dyDescent="0.2">
      <c r="A260" s="1738"/>
      <c r="B260" s="1607"/>
      <c r="C260" s="1740"/>
      <c r="D260" s="1694"/>
      <c r="E260" s="1695"/>
      <c r="F260" s="1744"/>
      <c r="G260" s="207" t="s">
        <v>59</v>
      </c>
      <c r="H260" s="191">
        <f>+H261+H262</f>
        <v>36.700000000000003</v>
      </c>
      <c r="I260" s="215">
        <f t="shared" ref="I260:K260" si="72">+I261+I262</f>
        <v>0</v>
      </c>
      <c r="J260" s="215">
        <f t="shared" si="72"/>
        <v>0</v>
      </c>
      <c r="K260" s="216">
        <f t="shared" si="72"/>
        <v>36.700000000000003</v>
      </c>
      <c r="L260" s="49">
        <f>+L261+L262</f>
        <v>12.7</v>
      </c>
      <c r="M260" s="215">
        <f t="shared" ref="M260:Q260" si="73">+M261+M262</f>
        <v>0</v>
      </c>
      <c r="N260" s="215">
        <f t="shared" si="73"/>
        <v>0</v>
      </c>
      <c r="O260" s="23">
        <f t="shared" si="73"/>
        <v>12.7</v>
      </c>
      <c r="P260" s="14">
        <f t="shared" si="73"/>
        <v>14.8</v>
      </c>
      <c r="Q260" s="21">
        <f t="shared" si="73"/>
        <v>13.6</v>
      </c>
      <c r="R260" s="1641"/>
      <c r="S260" s="1687"/>
      <c r="T260" s="1687"/>
      <c r="U260" s="1693"/>
      <c r="V260" s="219"/>
      <c r="W260" s="219"/>
    </row>
    <row r="261" spans="1:25" s="48" customFormat="1" ht="15" customHeight="1" x14ac:dyDescent="0.2">
      <c r="A261" s="1738"/>
      <c r="B261" s="1607"/>
      <c r="C261" s="1740"/>
      <c r="D261" s="1694"/>
      <c r="E261" s="1695"/>
      <c r="F261" s="1744"/>
      <c r="G261" s="101" t="s">
        <v>130</v>
      </c>
      <c r="H261" s="141">
        <v>36.700000000000003</v>
      </c>
      <c r="I261" s="142"/>
      <c r="J261" s="142"/>
      <c r="K261" s="143">
        <v>36.700000000000003</v>
      </c>
      <c r="L261" s="155">
        <v>12.7</v>
      </c>
      <c r="M261" s="142"/>
      <c r="N261" s="142"/>
      <c r="O261" s="156">
        <v>12.7</v>
      </c>
      <c r="P261" s="157">
        <v>14.8</v>
      </c>
      <c r="Q261" s="158">
        <v>13.6</v>
      </c>
      <c r="R261" s="1641"/>
      <c r="S261" s="1687"/>
      <c r="T261" s="1687"/>
      <c r="U261" s="1693"/>
      <c r="V261" s="219"/>
      <c r="W261" s="219"/>
    </row>
    <row r="262" spans="1:25" s="48" customFormat="1" ht="15" customHeight="1" x14ac:dyDescent="0.2">
      <c r="A262" s="1738"/>
      <c r="B262" s="1607"/>
      <c r="C262" s="1740"/>
      <c r="D262" s="1694"/>
      <c r="E262" s="1695"/>
      <c r="F262" s="1744"/>
      <c r="G262" s="101" t="s">
        <v>71</v>
      </c>
      <c r="H262" s="141"/>
      <c r="I262" s="142"/>
      <c r="J262" s="142"/>
      <c r="K262" s="143"/>
      <c r="L262" s="155"/>
      <c r="M262" s="142"/>
      <c r="N262" s="142"/>
      <c r="O262" s="156"/>
      <c r="P262" s="157"/>
      <c r="Q262" s="158"/>
      <c r="R262" s="1641"/>
      <c r="S262" s="1687"/>
      <c r="T262" s="1687"/>
      <c r="U262" s="1693"/>
      <c r="V262" s="219"/>
      <c r="W262" s="219"/>
    </row>
    <row r="263" spans="1:25" s="48" customFormat="1" ht="15" customHeight="1" x14ac:dyDescent="0.2">
      <c r="A263" s="1738"/>
      <c r="B263" s="1607"/>
      <c r="C263" s="1740"/>
      <c r="D263" s="1694"/>
      <c r="E263" s="1695"/>
      <c r="F263" s="1744"/>
      <c r="G263" s="13" t="s">
        <v>36</v>
      </c>
      <c r="H263" s="191"/>
      <c r="I263" s="215"/>
      <c r="J263" s="215"/>
      <c r="K263" s="216"/>
      <c r="L263" s="49"/>
      <c r="M263" s="215"/>
      <c r="N263" s="215"/>
      <c r="O263" s="23"/>
      <c r="P263" s="14"/>
      <c r="Q263" s="21"/>
      <c r="R263" s="1641"/>
      <c r="S263" s="1687"/>
      <c r="T263" s="1687"/>
      <c r="U263" s="1693"/>
      <c r="V263" s="219"/>
      <c r="W263" s="219"/>
    </row>
    <row r="264" spans="1:25" s="48" customFormat="1" ht="15" customHeight="1" x14ac:dyDescent="0.2">
      <c r="A264" s="1738"/>
      <c r="B264" s="1607"/>
      <c r="C264" s="1740"/>
      <c r="D264" s="1694"/>
      <c r="E264" s="1695"/>
      <c r="F264" s="1744"/>
      <c r="G264" s="13" t="s">
        <v>72</v>
      </c>
      <c r="H264" s="191"/>
      <c r="I264" s="215"/>
      <c r="J264" s="215"/>
      <c r="K264" s="216"/>
      <c r="L264" s="49"/>
      <c r="M264" s="215"/>
      <c r="N264" s="215"/>
      <c r="O264" s="23"/>
      <c r="P264" s="14"/>
      <c r="Q264" s="21"/>
      <c r="R264" s="1641"/>
      <c r="S264" s="1687"/>
      <c r="T264" s="1687"/>
      <c r="U264" s="1693"/>
      <c r="V264" s="219"/>
      <c r="W264" s="219"/>
    </row>
    <row r="265" spans="1:25" s="48" customFormat="1" ht="15" customHeight="1" x14ac:dyDescent="0.2">
      <c r="A265" s="1738"/>
      <c r="B265" s="1725"/>
      <c r="C265" s="1741"/>
      <c r="D265" s="1742"/>
      <c r="E265" s="1615"/>
      <c r="F265" s="1745"/>
      <c r="G265" s="24" t="s">
        <v>13</v>
      </c>
      <c r="H265" s="28">
        <f>+H258+H259+H260+H263+H264</f>
        <v>108.7</v>
      </c>
      <c r="I265" s="26">
        <f t="shared" ref="I265:Q265" si="74">+I258+I259+I260+I263+I264</f>
        <v>0</v>
      </c>
      <c r="J265" s="26">
        <f t="shared" si="74"/>
        <v>0</v>
      </c>
      <c r="K265" s="31">
        <f t="shared" si="74"/>
        <v>108.7</v>
      </c>
      <c r="L265" s="27">
        <f t="shared" si="74"/>
        <v>84.7</v>
      </c>
      <c r="M265" s="26">
        <f t="shared" si="74"/>
        <v>0</v>
      </c>
      <c r="N265" s="26">
        <f t="shared" si="74"/>
        <v>0</v>
      </c>
      <c r="O265" s="30">
        <f t="shared" si="74"/>
        <v>84.7</v>
      </c>
      <c r="P265" s="32">
        <f t="shared" si="74"/>
        <v>98.6</v>
      </c>
      <c r="Q265" s="25">
        <f t="shared" si="74"/>
        <v>90.899999999999991</v>
      </c>
      <c r="R265" s="1641"/>
      <c r="S265" s="26">
        <v>9</v>
      </c>
      <c r="T265" s="26">
        <f>SUM(T258)</f>
        <v>11</v>
      </c>
      <c r="U265" s="31"/>
      <c r="V265" s="219"/>
      <c r="W265" s="219"/>
    </row>
    <row r="266" spans="1:25" ht="15" customHeight="1" x14ac:dyDescent="0.2">
      <c r="A266" s="1634" t="s">
        <v>17</v>
      </c>
      <c r="B266" s="1635" t="s">
        <v>19</v>
      </c>
      <c r="C266" s="1699" t="s">
        <v>115</v>
      </c>
      <c r="D266" s="1679" t="s">
        <v>84</v>
      </c>
      <c r="E266" s="1695" t="s">
        <v>56</v>
      </c>
      <c r="F266" s="1618">
        <v>1</v>
      </c>
      <c r="G266" s="23" t="s">
        <v>30</v>
      </c>
      <c r="H266" s="191"/>
      <c r="I266" s="215"/>
      <c r="J266" s="215"/>
      <c r="K266" s="216"/>
      <c r="L266" s="49"/>
      <c r="M266" s="215"/>
      <c r="N266" s="215"/>
      <c r="O266" s="23"/>
      <c r="P266" s="14"/>
      <c r="Q266" s="21">
        <f>ROUND(269525.72/1000,1)</f>
        <v>269.5</v>
      </c>
      <c r="R266" s="1641" t="s">
        <v>85</v>
      </c>
      <c r="S266" s="1687"/>
      <c r="T266" s="1687"/>
      <c r="U266" s="1693"/>
    </row>
    <row r="267" spans="1:25" ht="15" customHeight="1" x14ac:dyDescent="0.2">
      <c r="A267" s="1634"/>
      <c r="B267" s="1635"/>
      <c r="C267" s="1699"/>
      <c r="D267" s="1680"/>
      <c r="E267" s="1695"/>
      <c r="F267" s="1618"/>
      <c r="G267" s="13" t="s">
        <v>73</v>
      </c>
      <c r="H267" s="191"/>
      <c r="I267" s="215"/>
      <c r="J267" s="215"/>
      <c r="K267" s="216"/>
      <c r="L267" s="49"/>
      <c r="M267" s="215"/>
      <c r="N267" s="215"/>
      <c r="O267" s="23"/>
      <c r="P267" s="14"/>
      <c r="Q267" s="21">
        <f>ROUND(23781.68/1000,1)</f>
        <v>23.8</v>
      </c>
      <c r="R267" s="1641"/>
      <c r="S267" s="1687"/>
      <c r="T267" s="1687"/>
      <c r="U267" s="1693"/>
    </row>
    <row r="268" spans="1:25" ht="15" customHeight="1" x14ac:dyDescent="0.2">
      <c r="A268" s="1634"/>
      <c r="B268" s="1635"/>
      <c r="C268" s="1699"/>
      <c r="D268" s="1680"/>
      <c r="E268" s="1695"/>
      <c r="F268" s="1618"/>
      <c r="G268" s="15" t="s">
        <v>59</v>
      </c>
      <c r="H268" s="16">
        <f>+H269+H270</f>
        <v>0</v>
      </c>
      <c r="I268" s="17">
        <f t="shared" ref="I268:Q268" si="75">+I269+I270</f>
        <v>0</v>
      </c>
      <c r="J268" s="17">
        <f t="shared" si="75"/>
        <v>0</v>
      </c>
      <c r="K268" s="19">
        <f t="shared" si="75"/>
        <v>0</v>
      </c>
      <c r="L268" s="50">
        <f t="shared" si="75"/>
        <v>0</v>
      </c>
      <c r="M268" s="17">
        <f t="shared" si="75"/>
        <v>0</v>
      </c>
      <c r="N268" s="17">
        <f t="shared" si="75"/>
        <v>0</v>
      </c>
      <c r="O268" s="18">
        <f t="shared" si="75"/>
        <v>0</v>
      </c>
      <c r="P268" s="20">
        <f t="shared" si="75"/>
        <v>0</v>
      </c>
      <c r="Q268" s="37">
        <f t="shared" si="75"/>
        <v>23.8</v>
      </c>
      <c r="R268" s="1641"/>
      <c r="S268" s="1687"/>
      <c r="T268" s="1687"/>
      <c r="U268" s="1693"/>
    </row>
    <row r="269" spans="1:25" ht="15" customHeight="1" x14ac:dyDescent="0.2">
      <c r="A269" s="1634"/>
      <c r="B269" s="1635"/>
      <c r="C269" s="1699"/>
      <c r="D269" s="1680"/>
      <c r="E269" s="1695"/>
      <c r="F269" s="1618"/>
      <c r="G269" s="101" t="s">
        <v>130</v>
      </c>
      <c r="H269" s="123"/>
      <c r="I269" s="124"/>
      <c r="J269" s="124"/>
      <c r="K269" s="125"/>
      <c r="L269" s="126"/>
      <c r="M269" s="124"/>
      <c r="N269" s="124"/>
      <c r="O269" s="122"/>
      <c r="P269" s="127"/>
      <c r="Q269" s="128"/>
      <c r="R269" s="1641"/>
      <c r="S269" s="1687"/>
      <c r="T269" s="1687"/>
      <c r="U269" s="1693"/>
    </row>
    <row r="270" spans="1:25" ht="15" customHeight="1" x14ac:dyDescent="0.2">
      <c r="A270" s="1634"/>
      <c r="B270" s="1635"/>
      <c r="C270" s="1699"/>
      <c r="D270" s="1680"/>
      <c r="E270" s="1695"/>
      <c r="F270" s="1618"/>
      <c r="G270" s="101" t="s">
        <v>71</v>
      </c>
      <c r="H270" s="123"/>
      <c r="I270" s="124"/>
      <c r="J270" s="124"/>
      <c r="K270" s="125"/>
      <c r="L270" s="126"/>
      <c r="M270" s="124"/>
      <c r="N270" s="124"/>
      <c r="O270" s="122"/>
      <c r="P270" s="127"/>
      <c r="Q270" s="128">
        <f>ROUND(23781.68/1000,1)</f>
        <v>23.8</v>
      </c>
      <c r="R270" s="1641"/>
      <c r="S270" s="1687"/>
      <c r="T270" s="1687"/>
      <c r="U270" s="1693"/>
    </row>
    <row r="271" spans="1:25" ht="15" customHeight="1" x14ac:dyDescent="0.2">
      <c r="A271" s="1634"/>
      <c r="B271" s="1635"/>
      <c r="C271" s="1699"/>
      <c r="D271" s="1680"/>
      <c r="E271" s="1695"/>
      <c r="F271" s="1618"/>
      <c r="G271" s="13" t="s">
        <v>36</v>
      </c>
      <c r="H271" s="191"/>
      <c r="I271" s="215"/>
      <c r="J271" s="215"/>
      <c r="K271" s="216"/>
      <c r="L271" s="49"/>
      <c r="M271" s="215"/>
      <c r="N271" s="215"/>
      <c r="O271" s="23"/>
      <c r="P271" s="14"/>
      <c r="Q271" s="21"/>
      <c r="R271" s="1641"/>
      <c r="S271" s="1687"/>
      <c r="T271" s="1687"/>
      <c r="U271" s="1693"/>
    </row>
    <row r="272" spans="1:25" ht="15" customHeight="1" x14ac:dyDescent="0.2">
      <c r="A272" s="1634"/>
      <c r="B272" s="1635"/>
      <c r="C272" s="1699"/>
      <c r="D272" s="1680"/>
      <c r="E272" s="1695"/>
      <c r="F272" s="1618"/>
      <c r="G272" s="13" t="s">
        <v>72</v>
      </c>
      <c r="H272" s="191"/>
      <c r="I272" s="215"/>
      <c r="J272" s="215"/>
      <c r="K272" s="216"/>
      <c r="L272" s="49"/>
      <c r="M272" s="215"/>
      <c r="N272" s="215"/>
      <c r="O272" s="23"/>
      <c r="P272" s="14"/>
      <c r="Q272" s="21"/>
      <c r="R272" s="1641"/>
      <c r="S272" s="1687"/>
      <c r="T272" s="1687"/>
      <c r="U272" s="1693"/>
    </row>
    <row r="273" spans="1:25" ht="15" customHeight="1" x14ac:dyDescent="0.2">
      <c r="A273" s="1634"/>
      <c r="B273" s="1635"/>
      <c r="C273" s="1699"/>
      <c r="D273" s="1680"/>
      <c r="E273" s="1695"/>
      <c r="F273" s="1619"/>
      <c r="G273" s="24" t="s">
        <v>13</v>
      </c>
      <c r="H273" s="28">
        <f>+H266+H267+H268+H271+H272</f>
        <v>0</v>
      </c>
      <c r="I273" s="26">
        <f t="shared" ref="I273:Q273" si="76">+I266+I267+I268+I271+I272</f>
        <v>0</v>
      </c>
      <c r="J273" s="26">
        <f t="shared" si="76"/>
        <v>0</v>
      </c>
      <c r="K273" s="31">
        <f t="shared" si="76"/>
        <v>0</v>
      </c>
      <c r="L273" s="27">
        <f t="shared" si="76"/>
        <v>0</v>
      </c>
      <c r="M273" s="26">
        <f t="shared" si="76"/>
        <v>0</v>
      </c>
      <c r="N273" s="26">
        <f t="shared" si="76"/>
        <v>0</v>
      </c>
      <c r="O273" s="30">
        <f t="shared" si="76"/>
        <v>0</v>
      </c>
      <c r="P273" s="32">
        <f t="shared" si="76"/>
        <v>0</v>
      </c>
      <c r="Q273" s="25">
        <f t="shared" si="76"/>
        <v>317.10000000000002</v>
      </c>
      <c r="R273" s="1641"/>
      <c r="S273" s="26"/>
      <c r="T273" s="26"/>
      <c r="U273" s="31"/>
    </row>
    <row r="274" spans="1:25" ht="15" customHeight="1" x14ac:dyDescent="0.2">
      <c r="A274" s="1634" t="s">
        <v>17</v>
      </c>
      <c r="B274" s="1606" t="s">
        <v>19</v>
      </c>
      <c r="C274" s="1699" t="s">
        <v>93</v>
      </c>
      <c r="D274" s="1701" t="s">
        <v>102</v>
      </c>
      <c r="E274" s="1695" t="s">
        <v>56</v>
      </c>
      <c r="F274" s="1619">
        <v>1</v>
      </c>
      <c r="G274" s="216" t="s">
        <v>30</v>
      </c>
      <c r="H274" s="191"/>
      <c r="I274" s="215"/>
      <c r="J274" s="215"/>
      <c r="K274" s="216"/>
      <c r="L274" s="49"/>
      <c r="M274" s="215"/>
      <c r="N274" s="215"/>
      <c r="O274" s="23"/>
      <c r="P274" s="14">
        <v>425</v>
      </c>
      <c r="Q274" s="21">
        <v>112</v>
      </c>
      <c r="R274" s="1703" t="s">
        <v>116</v>
      </c>
      <c r="S274" s="1733"/>
      <c r="T274" s="1733"/>
      <c r="U274" s="1700" t="s">
        <v>201</v>
      </c>
    </row>
    <row r="275" spans="1:25" ht="15" customHeight="1" x14ac:dyDescent="0.2">
      <c r="A275" s="1634"/>
      <c r="B275" s="1607"/>
      <c r="C275" s="1728"/>
      <c r="D275" s="1701"/>
      <c r="E275" s="1695"/>
      <c r="F275" s="1618"/>
      <c r="G275" s="129" t="s">
        <v>73</v>
      </c>
      <c r="H275" s="191"/>
      <c r="I275" s="215"/>
      <c r="J275" s="215"/>
      <c r="K275" s="216"/>
      <c r="L275" s="49"/>
      <c r="M275" s="215"/>
      <c r="N275" s="215"/>
      <c r="O275" s="23"/>
      <c r="P275" s="14">
        <v>37.5</v>
      </c>
      <c r="Q275" s="21">
        <v>9.8800000000000008</v>
      </c>
      <c r="R275" s="1703"/>
      <c r="S275" s="1733"/>
      <c r="T275" s="1733"/>
      <c r="U275" s="1700"/>
    </row>
    <row r="276" spans="1:25" ht="15" customHeight="1" x14ac:dyDescent="0.2">
      <c r="A276" s="1634"/>
      <c r="B276" s="1607"/>
      <c r="C276" s="1728"/>
      <c r="D276" s="1701"/>
      <c r="E276" s="1695"/>
      <c r="F276" s="1618"/>
      <c r="G276" s="130" t="s">
        <v>59</v>
      </c>
      <c r="H276" s="16">
        <f>+H277+H278</f>
        <v>0</v>
      </c>
      <c r="I276" s="17">
        <f t="shared" ref="I276:K276" si="77">+I277+I278</f>
        <v>0</v>
      </c>
      <c r="J276" s="17">
        <f t="shared" si="77"/>
        <v>0</v>
      </c>
      <c r="K276" s="19">
        <f t="shared" si="77"/>
        <v>0</v>
      </c>
      <c r="L276" s="50">
        <f>+L277+L278</f>
        <v>0</v>
      </c>
      <c r="M276" s="17">
        <f t="shared" ref="M276:Q276" si="78">+M277+M278</f>
        <v>0</v>
      </c>
      <c r="N276" s="17">
        <f t="shared" si="78"/>
        <v>0</v>
      </c>
      <c r="O276" s="18">
        <f t="shared" si="78"/>
        <v>0</v>
      </c>
      <c r="P276" s="20">
        <f t="shared" si="78"/>
        <v>37.5</v>
      </c>
      <c r="Q276" s="37">
        <f t="shared" si="78"/>
        <v>9.8800000000000008</v>
      </c>
      <c r="R276" s="1703"/>
      <c r="S276" s="1733"/>
      <c r="T276" s="1733"/>
      <c r="U276" s="1700"/>
    </row>
    <row r="277" spans="1:25" ht="15" customHeight="1" x14ac:dyDescent="0.2">
      <c r="A277" s="1634"/>
      <c r="B277" s="1607"/>
      <c r="C277" s="1728"/>
      <c r="D277" s="1701"/>
      <c r="E277" s="1695"/>
      <c r="F277" s="1618"/>
      <c r="G277" s="131" t="s">
        <v>130</v>
      </c>
      <c r="H277" s="141"/>
      <c r="I277" s="142"/>
      <c r="J277" s="142"/>
      <c r="K277" s="143"/>
      <c r="L277" s="155"/>
      <c r="M277" s="142"/>
      <c r="N277" s="142"/>
      <c r="O277" s="156"/>
      <c r="P277" s="157">
        <v>37.5</v>
      </c>
      <c r="Q277" s="158">
        <v>9.8800000000000008</v>
      </c>
      <c r="R277" s="1703"/>
      <c r="S277" s="1733"/>
      <c r="T277" s="1733"/>
      <c r="U277" s="1700"/>
    </row>
    <row r="278" spans="1:25" ht="15" customHeight="1" x14ac:dyDescent="0.2">
      <c r="A278" s="1634"/>
      <c r="B278" s="1607"/>
      <c r="C278" s="1728"/>
      <c r="D278" s="1701"/>
      <c r="E278" s="1695"/>
      <c r="F278" s="1618"/>
      <c r="G278" s="131" t="s">
        <v>71</v>
      </c>
      <c r="H278" s="123"/>
      <c r="I278" s="124"/>
      <c r="J278" s="124"/>
      <c r="K278" s="125"/>
      <c r="L278" s="126"/>
      <c r="M278" s="124"/>
      <c r="N278" s="124"/>
      <c r="O278" s="122"/>
      <c r="P278" s="127"/>
      <c r="Q278" s="128"/>
      <c r="R278" s="1703"/>
      <c r="S278" s="1733"/>
      <c r="T278" s="1733"/>
      <c r="U278" s="1700"/>
    </row>
    <row r="279" spans="1:25" ht="15" customHeight="1" x14ac:dyDescent="0.2">
      <c r="A279" s="1634"/>
      <c r="B279" s="1607"/>
      <c r="C279" s="1728"/>
      <c r="D279" s="1701"/>
      <c r="E279" s="1695"/>
      <c r="F279" s="1618"/>
      <c r="G279" s="129" t="s">
        <v>36</v>
      </c>
      <c r="H279" s="191"/>
      <c r="I279" s="215"/>
      <c r="J279" s="215"/>
      <c r="K279" s="216"/>
      <c r="L279" s="49"/>
      <c r="M279" s="215"/>
      <c r="N279" s="215"/>
      <c r="O279" s="23"/>
      <c r="P279" s="14"/>
      <c r="Q279" s="21"/>
      <c r="R279" s="1703"/>
      <c r="S279" s="1733"/>
      <c r="T279" s="1733"/>
      <c r="U279" s="1700"/>
    </row>
    <row r="280" spans="1:25" ht="15" customHeight="1" x14ac:dyDescent="0.2">
      <c r="A280" s="1634"/>
      <c r="B280" s="1607"/>
      <c r="C280" s="1728"/>
      <c r="D280" s="1701"/>
      <c r="E280" s="1695"/>
      <c r="F280" s="1618"/>
      <c r="G280" s="129" t="s">
        <v>72</v>
      </c>
      <c r="H280" s="191"/>
      <c r="I280" s="215"/>
      <c r="J280" s="215"/>
      <c r="K280" s="216"/>
      <c r="L280" s="49"/>
      <c r="M280" s="215"/>
      <c r="N280" s="215"/>
      <c r="O280" s="23"/>
      <c r="P280" s="14"/>
      <c r="Q280" s="21"/>
      <c r="R280" s="1703"/>
      <c r="S280" s="1733"/>
      <c r="T280" s="1733"/>
      <c r="U280" s="1700"/>
    </row>
    <row r="281" spans="1:25" ht="15" customHeight="1" x14ac:dyDescent="0.2">
      <c r="A281" s="1634"/>
      <c r="B281" s="1725"/>
      <c r="C281" s="1699"/>
      <c r="D281" s="1701"/>
      <c r="E281" s="1695"/>
      <c r="F281" s="1619"/>
      <c r="G281" s="132" t="s">
        <v>13</v>
      </c>
      <c r="H281" s="28">
        <f>+H274+H275+H276+H279+H280</f>
        <v>0</v>
      </c>
      <c r="I281" s="26">
        <f t="shared" ref="I281:Q281" si="79">+I274+I275+I276+I279+I280</f>
        <v>0</v>
      </c>
      <c r="J281" s="26">
        <f t="shared" si="79"/>
        <v>0</v>
      </c>
      <c r="K281" s="31">
        <f t="shared" si="79"/>
        <v>0</v>
      </c>
      <c r="L281" s="27">
        <f t="shared" si="79"/>
        <v>0</v>
      </c>
      <c r="M281" s="26">
        <f t="shared" si="79"/>
        <v>0</v>
      </c>
      <c r="N281" s="26">
        <f t="shared" si="79"/>
        <v>0</v>
      </c>
      <c r="O281" s="30">
        <f t="shared" si="79"/>
        <v>0</v>
      </c>
      <c r="P281" s="32">
        <f t="shared" si="79"/>
        <v>500</v>
      </c>
      <c r="Q281" s="25">
        <f t="shared" si="79"/>
        <v>131.76</v>
      </c>
      <c r="R281" s="1703"/>
      <c r="S281" s="62"/>
      <c r="T281" s="62"/>
      <c r="U281" s="70"/>
    </row>
    <row r="282" spans="1:25" ht="15" customHeight="1" x14ac:dyDescent="0.2">
      <c r="A282" s="1634" t="s">
        <v>17</v>
      </c>
      <c r="B282" s="1606" t="s">
        <v>19</v>
      </c>
      <c r="C282" s="1734" t="s">
        <v>94</v>
      </c>
      <c r="D282" s="1701" t="s">
        <v>172</v>
      </c>
      <c r="E282" s="1695" t="s">
        <v>136</v>
      </c>
      <c r="F282" s="1618">
        <v>1</v>
      </c>
      <c r="G282" s="23" t="s">
        <v>30</v>
      </c>
      <c r="H282" s="191"/>
      <c r="I282" s="215"/>
      <c r="J282" s="215"/>
      <c r="K282" s="216"/>
      <c r="L282" s="49"/>
      <c r="M282" s="215"/>
      <c r="N282" s="215"/>
      <c r="O282" s="23"/>
      <c r="P282" s="14">
        <v>162.30000000000001</v>
      </c>
      <c r="Q282" s="21">
        <v>26.1</v>
      </c>
      <c r="R282" s="1641" t="s">
        <v>118</v>
      </c>
      <c r="S282" s="1687"/>
      <c r="T282" s="1687"/>
      <c r="U282" s="1693"/>
    </row>
    <row r="283" spans="1:25" ht="15" customHeight="1" x14ac:dyDescent="0.2">
      <c r="A283" s="1634"/>
      <c r="B283" s="1607"/>
      <c r="C283" s="1735"/>
      <c r="D283" s="1701"/>
      <c r="E283" s="1695"/>
      <c r="F283" s="1618"/>
      <c r="G283" s="13" t="s">
        <v>73</v>
      </c>
      <c r="H283" s="191"/>
      <c r="I283" s="215"/>
      <c r="J283" s="215"/>
      <c r="K283" s="216"/>
      <c r="L283" s="49"/>
      <c r="M283" s="215"/>
      <c r="N283" s="215"/>
      <c r="O283" s="23"/>
      <c r="P283" s="14"/>
      <c r="Q283" s="21"/>
      <c r="R283" s="1641"/>
      <c r="S283" s="1687"/>
      <c r="T283" s="1687"/>
      <c r="U283" s="1693"/>
    </row>
    <row r="284" spans="1:25" ht="15" customHeight="1" x14ac:dyDescent="0.2">
      <c r="A284" s="1634"/>
      <c r="B284" s="1607"/>
      <c r="C284" s="1735"/>
      <c r="D284" s="1701"/>
      <c r="E284" s="1695"/>
      <c r="F284" s="1618"/>
      <c r="G284" s="15" t="s">
        <v>59</v>
      </c>
      <c r="H284" s="16">
        <f>+H285+H286</f>
        <v>0</v>
      </c>
      <c r="I284" s="17">
        <f t="shared" ref="I284:Q284" si="80">+I285+I286</f>
        <v>0</v>
      </c>
      <c r="J284" s="17">
        <f t="shared" si="80"/>
        <v>0</v>
      </c>
      <c r="K284" s="19">
        <f t="shared" si="80"/>
        <v>0</v>
      </c>
      <c r="L284" s="50">
        <f t="shared" si="80"/>
        <v>0</v>
      </c>
      <c r="M284" s="17">
        <f t="shared" si="80"/>
        <v>0</v>
      </c>
      <c r="N284" s="17">
        <f t="shared" si="80"/>
        <v>0</v>
      </c>
      <c r="O284" s="18">
        <f t="shared" si="80"/>
        <v>0</v>
      </c>
      <c r="P284" s="20">
        <f t="shared" si="80"/>
        <v>28.6</v>
      </c>
      <c r="Q284" s="37">
        <f t="shared" si="80"/>
        <v>4.7</v>
      </c>
      <c r="R284" s="1641"/>
      <c r="S284" s="1687"/>
      <c r="T284" s="1687"/>
      <c r="U284" s="1693"/>
    </row>
    <row r="285" spans="1:25" ht="15" customHeight="1" x14ac:dyDescent="0.2">
      <c r="A285" s="1634"/>
      <c r="B285" s="1607"/>
      <c r="C285" s="1735"/>
      <c r="D285" s="1701"/>
      <c r="E285" s="1695"/>
      <c r="F285" s="1618"/>
      <c r="G285" s="101" t="s">
        <v>130</v>
      </c>
      <c r="H285" s="141"/>
      <c r="I285" s="142"/>
      <c r="J285" s="142"/>
      <c r="K285" s="143"/>
      <c r="L285" s="155"/>
      <c r="M285" s="142"/>
      <c r="N285" s="142"/>
      <c r="O285" s="156"/>
      <c r="P285" s="157">
        <v>28.6</v>
      </c>
      <c r="Q285" s="158">
        <v>4.7</v>
      </c>
      <c r="R285" s="1641"/>
      <c r="S285" s="1687"/>
      <c r="T285" s="1687"/>
      <c r="U285" s="1693"/>
    </row>
    <row r="286" spans="1:25" ht="15" customHeight="1" x14ac:dyDescent="0.2">
      <c r="A286" s="1634"/>
      <c r="B286" s="1607"/>
      <c r="C286" s="1735"/>
      <c r="D286" s="1701"/>
      <c r="E286" s="1695"/>
      <c r="F286" s="1618"/>
      <c r="G286" s="101" t="s">
        <v>71</v>
      </c>
      <c r="H286" s="123"/>
      <c r="I286" s="124"/>
      <c r="J286" s="124"/>
      <c r="K286" s="125"/>
      <c r="L286" s="126"/>
      <c r="M286" s="124"/>
      <c r="N286" s="124"/>
      <c r="O286" s="122"/>
      <c r="P286" s="127"/>
      <c r="Q286" s="128"/>
      <c r="R286" s="1641"/>
      <c r="S286" s="1687"/>
      <c r="T286" s="1687"/>
      <c r="U286" s="1693"/>
      <c r="V286" s="1732"/>
      <c r="W286" s="1732"/>
      <c r="X286" s="1732"/>
      <c r="Y286" s="1732"/>
    </row>
    <row r="287" spans="1:25" ht="15" customHeight="1" x14ac:dyDescent="0.2">
      <c r="A287" s="1634"/>
      <c r="B287" s="1607"/>
      <c r="C287" s="1735"/>
      <c r="D287" s="1701"/>
      <c r="E287" s="1695"/>
      <c r="F287" s="1618"/>
      <c r="G287" s="13" t="s">
        <v>36</v>
      </c>
      <c r="H287" s="191"/>
      <c r="I287" s="215"/>
      <c r="J287" s="215"/>
      <c r="K287" s="216"/>
      <c r="L287" s="49"/>
      <c r="M287" s="215"/>
      <c r="N287" s="215"/>
      <c r="O287" s="23"/>
      <c r="P287" s="14"/>
      <c r="Q287" s="21"/>
      <c r="R287" s="1641"/>
      <c r="S287" s="1687"/>
      <c r="T287" s="1687"/>
      <c r="U287" s="1693"/>
      <c r="V287" s="1732"/>
      <c r="W287" s="1732"/>
      <c r="X287" s="1732"/>
      <c r="Y287" s="1732"/>
    </row>
    <row r="288" spans="1:25" ht="15" customHeight="1" x14ac:dyDescent="0.2">
      <c r="A288" s="1634"/>
      <c r="B288" s="1607"/>
      <c r="C288" s="1735"/>
      <c r="D288" s="1701"/>
      <c r="E288" s="1695"/>
      <c r="F288" s="1618"/>
      <c r="G288" s="13" t="s">
        <v>72</v>
      </c>
      <c r="H288" s="191"/>
      <c r="I288" s="215"/>
      <c r="J288" s="215"/>
      <c r="K288" s="216"/>
      <c r="L288" s="49"/>
      <c r="M288" s="215"/>
      <c r="N288" s="215"/>
      <c r="O288" s="23"/>
      <c r="P288" s="14"/>
      <c r="Q288" s="21"/>
      <c r="R288" s="1641"/>
      <c r="S288" s="1687"/>
      <c r="T288" s="1687"/>
      <c r="U288" s="1693"/>
    </row>
    <row r="289" spans="1:26" ht="15" customHeight="1" x14ac:dyDescent="0.2">
      <c r="A289" s="1634"/>
      <c r="B289" s="1725"/>
      <c r="C289" s="1734"/>
      <c r="D289" s="1701"/>
      <c r="E289" s="1695"/>
      <c r="F289" s="1619"/>
      <c r="G289" s="24" t="s">
        <v>13</v>
      </c>
      <c r="H289" s="28">
        <f>+H282+H283+H284+H287+H288</f>
        <v>0</v>
      </c>
      <c r="I289" s="26">
        <f t="shared" ref="I289:Q289" si="81">+I282+I283+I284+I287+I288</f>
        <v>0</v>
      </c>
      <c r="J289" s="26">
        <f t="shared" si="81"/>
        <v>0</v>
      </c>
      <c r="K289" s="31">
        <f t="shared" si="81"/>
        <v>0</v>
      </c>
      <c r="L289" s="27">
        <f t="shared" si="81"/>
        <v>0</v>
      </c>
      <c r="M289" s="26">
        <f t="shared" si="81"/>
        <v>0</v>
      </c>
      <c r="N289" s="26">
        <f t="shared" si="81"/>
        <v>0</v>
      </c>
      <c r="O289" s="30">
        <f t="shared" si="81"/>
        <v>0</v>
      </c>
      <c r="P289" s="32">
        <f t="shared" si="81"/>
        <v>190.9</v>
      </c>
      <c r="Q289" s="25">
        <f t="shared" si="81"/>
        <v>30.8</v>
      </c>
      <c r="R289" s="1641"/>
      <c r="S289" s="26"/>
      <c r="T289" s="26"/>
      <c r="U289" s="31"/>
    </row>
    <row r="290" spans="1:26" s="210" customFormat="1" ht="15" customHeight="1" x14ac:dyDescent="0.2">
      <c r="A290" s="1603" t="s">
        <v>17</v>
      </c>
      <c r="B290" s="1606" t="s">
        <v>19</v>
      </c>
      <c r="C290" s="1699" t="s">
        <v>95</v>
      </c>
      <c r="D290" s="1679" t="s">
        <v>100</v>
      </c>
      <c r="E290" s="1615" t="s">
        <v>58</v>
      </c>
      <c r="F290" s="1618">
        <v>1</v>
      </c>
      <c r="G290" s="23" t="s">
        <v>30</v>
      </c>
      <c r="H290" s="191"/>
      <c r="I290" s="215"/>
      <c r="J290" s="215"/>
      <c r="K290" s="216"/>
      <c r="L290" s="49"/>
      <c r="M290" s="215"/>
      <c r="N290" s="215"/>
      <c r="O290" s="23"/>
      <c r="P290" s="14"/>
      <c r="Q290" s="21">
        <f>ROUND(144158/1000,1)</f>
        <v>144.19999999999999</v>
      </c>
      <c r="R290" s="1641" t="s">
        <v>119</v>
      </c>
      <c r="S290" s="1687"/>
      <c r="T290" s="1687"/>
      <c r="U290" s="1693"/>
    </row>
    <row r="291" spans="1:26" s="210" customFormat="1" ht="15" customHeight="1" x14ac:dyDescent="0.2">
      <c r="A291" s="1604"/>
      <c r="B291" s="1607"/>
      <c r="C291" s="1728"/>
      <c r="D291" s="1680"/>
      <c r="E291" s="1616"/>
      <c r="F291" s="1618"/>
      <c r="G291" s="13" t="s">
        <v>73</v>
      </c>
      <c r="H291" s="191"/>
      <c r="I291" s="215"/>
      <c r="J291" s="215"/>
      <c r="K291" s="216"/>
      <c r="L291" s="49"/>
      <c r="M291" s="215"/>
      <c r="N291" s="215"/>
      <c r="O291" s="23"/>
      <c r="P291" s="14"/>
      <c r="Q291" s="21"/>
      <c r="R291" s="1641"/>
      <c r="S291" s="1687"/>
      <c r="T291" s="1687"/>
      <c r="U291" s="1693"/>
    </row>
    <row r="292" spans="1:26" s="210" customFormat="1" ht="15" customHeight="1" x14ac:dyDescent="0.2">
      <c r="A292" s="1604"/>
      <c r="B292" s="1607"/>
      <c r="C292" s="1728"/>
      <c r="D292" s="1680"/>
      <c r="E292" s="1616"/>
      <c r="F292" s="1618"/>
      <c r="G292" s="15" t="s">
        <v>59</v>
      </c>
      <c r="H292" s="16">
        <f>+H293+H294</f>
        <v>0</v>
      </c>
      <c r="I292" s="17">
        <f t="shared" ref="I292:Q292" si="82">+I293+I294</f>
        <v>0</v>
      </c>
      <c r="J292" s="17">
        <f t="shared" si="82"/>
        <v>0</v>
      </c>
      <c r="K292" s="19">
        <f t="shared" si="82"/>
        <v>0</v>
      </c>
      <c r="L292" s="50">
        <f t="shared" si="82"/>
        <v>0</v>
      </c>
      <c r="M292" s="17">
        <f t="shared" si="82"/>
        <v>0</v>
      </c>
      <c r="N292" s="17">
        <f t="shared" si="82"/>
        <v>0</v>
      </c>
      <c r="O292" s="18">
        <f t="shared" si="82"/>
        <v>0</v>
      </c>
      <c r="P292" s="20">
        <f t="shared" si="82"/>
        <v>0</v>
      </c>
      <c r="Q292" s="37">
        <f t="shared" si="82"/>
        <v>25.4</v>
      </c>
      <c r="R292" s="1641"/>
      <c r="S292" s="1687"/>
      <c r="T292" s="1687"/>
      <c r="U292" s="1693"/>
    </row>
    <row r="293" spans="1:26" ht="15" customHeight="1" x14ac:dyDescent="0.2">
      <c r="A293" s="1604"/>
      <c r="B293" s="1607"/>
      <c r="C293" s="1728"/>
      <c r="D293" s="1680"/>
      <c r="E293" s="1616"/>
      <c r="F293" s="1618"/>
      <c r="G293" s="101" t="s">
        <v>130</v>
      </c>
      <c r="H293" s="123"/>
      <c r="I293" s="124"/>
      <c r="J293" s="124"/>
      <c r="K293" s="125"/>
      <c r="L293" s="126"/>
      <c r="M293" s="124"/>
      <c r="N293" s="124"/>
      <c r="O293" s="122"/>
      <c r="P293" s="127"/>
      <c r="Q293" s="128"/>
      <c r="R293" s="1641"/>
      <c r="S293" s="1687"/>
      <c r="T293" s="1687"/>
      <c r="U293" s="1693"/>
    </row>
    <row r="294" spans="1:26" ht="15" customHeight="1" x14ac:dyDescent="0.2">
      <c r="A294" s="1604"/>
      <c r="B294" s="1607"/>
      <c r="C294" s="1728"/>
      <c r="D294" s="1680"/>
      <c r="E294" s="1616"/>
      <c r="F294" s="1618"/>
      <c r="G294" s="101" t="s">
        <v>71</v>
      </c>
      <c r="H294" s="123"/>
      <c r="I294" s="124"/>
      <c r="J294" s="124"/>
      <c r="K294" s="125"/>
      <c r="L294" s="126"/>
      <c r="M294" s="124"/>
      <c r="N294" s="124"/>
      <c r="O294" s="122"/>
      <c r="P294" s="127"/>
      <c r="Q294" s="158">
        <f>ROUND(25439.65/1000,1)</f>
        <v>25.4</v>
      </c>
      <c r="R294" s="1641"/>
      <c r="S294" s="1687"/>
      <c r="T294" s="1687"/>
      <c r="U294" s="1693"/>
    </row>
    <row r="295" spans="1:26" ht="15" customHeight="1" x14ac:dyDescent="0.2">
      <c r="A295" s="1604"/>
      <c r="B295" s="1607"/>
      <c r="C295" s="1728"/>
      <c r="D295" s="1680"/>
      <c r="E295" s="1616"/>
      <c r="F295" s="1618"/>
      <c r="G295" s="13" t="s">
        <v>36</v>
      </c>
      <c r="H295" s="191"/>
      <c r="I295" s="215"/>
      <c r="J295" s="215"/>
      <c r="K295" s="216"/>
      <c r="L295" s="49"/>
      <c r="M295" s="215"/>
      <c r="N295" s="215"/>
      <c r="O295" s="23"/>
      <c r="P295" s="14"/>
      <c r="Q295" s="21"/>
      <c r="R295" s="1641"/>
      <c r="S295" s="1687"/>
      <c r="T295" s="1687"/>
      <c r="U295" s="1693"/>
    </row>
    <row r="296" spans="1:26" ht="15" customHeight="1" x14ac:dyDescent="0.2">
      <c r="A296" s="1604"/>
      <c r="B296" s="1607"/>
      <c r="C296" s="1728"/>
      <c r="D296" s="1680"/>
      <c r="E296" s="1616"/>
      <c r="F296" s="1618"/>
      <c r="G296" s="13" t="s">
        <v>72</v>
      </c>
      <c r="H296" s="191"/>
      <c r="I296" s="215"/>
      <c r="J296" s="215"/>
      <c r="K296" s="216"/>
      <c r="L296" s="49"/>
      <c r="M296" s="215"/>
      <c r="N296" s="215"/>
      <c r="O296" s="23"/>
      <c r="P296" s="14"/>
      <c r="Q296" s="21"/>
      <c r="R296" s="1641"/>
      <c r="S296" s="1687"/>
      <c r="T296" s="1687"/>
      <c r="U296" s="1693"/>
    </row>
    <row r="297" spans="1:26" ht="15" customHeight="1" x14ac:dyDescent="0.2">
      <c r="A297" s="1604"/>
      <c r="B297" s="1607"/>
      <c r="C297" s="1729"/>
      <c r="D297" s="1722"/>
      <c r="E297" s="1639"/>
      <c r="F297" s="1619"/>
      <c r="G297" s="24" t="s">
        <v>13</v>
      </c>
      <c r="H297" s="28">
        <f>+H290+H291+H292+H295+H296</f>
        <v>0</v>
      </c>
      <c r="I297" s="26">
        <f t="shared" ref="I297:Q297" si="83">+I290+I291+I292+I295+I296</f>
        <v>0</v>
      </c>
      <c r="J297" s="26">
        <f t="shared" si="83"/>
        <v>0</v>
      </c>
      <c r="K297" s="31">
        <f t="shared" si="83"/>
        <v>0</v>
      </c>
      <c r="L297" s="27">
        <f t="shared" si="83"/>
        <v>0</v>
      </c>
      <c r="M297" s="26">
        <f t="shared" si="83"/>
        <v>0</v>
      </c>
      <c r="N297" s="26">
        <f t="shared" si="83"/>
        <v>0</v>
      </c>
      <c r="O297" s="30">
        <f t="shared" si="83"/>
        <v>0</v>
      </c>
      <c r="P297" s="32">
        <f t="shared" si="83"/>
        <v>0</v>
      </c>
      <c r="Q297" s="25">
        <f t="shared" si="83"/>
        <v>169.6</v>
      </c>
      <c r="R297" s="1641"/>
      <c r="S297" s="26"/>
      <c r="T297" s="26"/>
      <c r="U297" s="31"/>
    </row>
    <row r="298" spans="1:26" ht="15" customHeight="1" x14ac:dyDescent="0.2">
      <c r="A298" s="1634" t="s">
        <v>17</v>
      </c>
      <c r="B298" s="1606" t="s">
        <v>19</v>
      </c>
      <c r="C298" s="1699" t="s">
        <v>90</v>
      </c>
      <c r="D298" s="1722" t="s">
        <v>163</v>
      </c>
      <c r="E298" s="1639" t="s">
        <v>56</v>
      </c>
      <c r="F298" s="1618">
        <v>1</v>
      </c>
      <c r="G298" s="23" t="s">
        <v>30</v>
      </c>
      <c r="H298" s="191"/>
      <c r="I298" s="215"/>
      <c r="J298" s="215"/>
      <c r="K298" s="216"/>
      <c r="L298" s="49"/>
      <c r="M298" s="215"/>
      <c r="N298" s="215"/>
      <c r="O298" s="23"/>
      <c r="P298" s="14">
        <v>100</v>
      </c>
      <c r="Q298" s="21"/>
      <c r="R298" s="1641" t="s">
        <v>126</v>
      </c>
      <c r="S298" s="1687"/>
      <c r="T298" s="1730"/>
      <c r="U298" s="1726" t="s">
        <v>203</v>
      </c>
    </row>
    <row r="299" spans="1:26" ht="15" customHeight="1" x14ac:dyDescent="0.2">
      <c r="A299" s="1634"/>
      <c r="B299" s="1607"/>
      <c r="C299" s="1728"/>
      <c r="D299" s="1701"/>
      <c r="E299" s="1695"/>
      <c r="F299" s="1618"/>
      <c r="G299" s="13" t="s">
        <v>73</v>
      </c>
      <c r="H299" s="191"/>
      <c r="I299" s="215"/>
      <c r="J299" s="215"/>
      <c r="K299" s="216"/>
      <c r="L299" s="49"/>
      <c r="M299" s="215"/>
      <c r="N299" s="215"/>
      <c r="O299" s="23"/>
      <c r="P299" s="14"/>
      <c r="Q299" s="21"/>
      <c r="R299" s="1641"/>
      <c r="S299" s="1687"/>
      <c r="T299" s="1731"/>
      <c r="U299" s="1700"/>
    </row>
    <row r="300" spans="1:26" ht="15" customHeight="1" x14ac:dyDescent="0.2">
      <c r="A300" s="1634"/>
      <c r="B300" s="1607"/>
      <c r="C300" s="1728"/>
      <c r="D300" s="1701"/>
      <c r="E300" s="1695"/>
      <c r="F300" s="1618"/>
      <c r="G300" s="15" t="s">
        <v>59</v>
      </c>
      <c r="H300" s="16">
        <f>+H301+H302</f>
        <v>5</v>
      </c>
      <c r="I300" s="17">
        <f t="shared" ref="I300:Q300" si="84">+I301+I302</f>
        <v>0</v>
      </c>
      <c r="J300" s="17">
        <f t="shared" si="84"/>
        <v>0</v>
      </c>
      <c r="K300" s="19">
        <f t="shared" si="84"/>
        <v>5</v>
      </c>
      <c r="L300" s="50">
        <f t="shared" si="84"/>
        <v>0</v>
      </c>
      <c r="M300" s="17">
        <f t="shared" si="84"/>
        <v>0</v>
      </c>
      <c r="N300" s="17">
        <f t="shared" si="84"/>
        <v>0</v>
      </c>
      <c r="O300" s="18">
        <f t="shared" si="84"/>
        <v>0</v>
      </c>
      <c r="P300" s="20">
        <f t="shared" si="84"/>
        <v>25</v>
      </c>
      <c r="Q300" s="37">
        <f t="shared" si="84"/>
        <v>0</v>
      </c>
      <c r="R300" s="1641"/>
      <c r="S300" s="1687"/>
      <c r="T300" s="1731"/>
      <c r="U300" s="1700"/>
      <c r="V300" s="1715"/>
      <c r="W300" s="1689"/>
      <c r="X300" s="1689"/>
      <c r="Y300" s="1689"/>
      <c r="Z300" s="1689"/>
    </row>
    <row r="301" spans="1:26" ht="15" customHeight="1" x14ac:dyDescent="0.2">
      <c r="A301" s="1634"/>
      <c r="B301" s="1607"/>
      <c r="C301" s="1728"/>
      <c r="D301" s="1701"/>
      <c r="E301" s="1695"/>
      <c r="F301" s="1618"/>
      <c r="G301" s="101" t="s">
        <v>130</v>
      </c>
      <c r="H301" s="123"/>
      <c r="I301" s="124"/>
      <c r="J301" s="124"/>
      <c r="K301" s="125"/>
      <c r="L301" s="155"/>
      <c r="M301" s="142"/>
      <c r="N301" s="142"/>
      <c r="O301" s="156"/>
      <c r="P301" s="157">
        <v>25</v>
      </c>
      <c r="Q301" s="128"/>
      <c r="R301" s="1641"/>
      <c r="S301" s="1687"/>
      <c r="T301" s="1731"/>
      <c r="U301" s="1700"/>
      <c r="V301" s="1649"/>
      <c r="W301" s="1697"/>
      <c r="X301" s="1697"/>
      <c r="Y301" s="1697"/>
      <c r="Z301" s="1697"/>
    </row>
    <row r="302" spans="1:26" ht="15" customHeight="1" x14ac:dyDescent="0.2">
      <c r="A302" s="1634"/>
      <c r="B302" s="1607"/>
      <c r="C302" s="1728"/>
      <c r="D302" s="1701"/>
      <c r="E302" s="1695"/>
      <c r="F302" s="1618"/>
      <c r="G302" s="101" t="s">
        <v>71</v>
      </c>
      <c r="H302" s="191">
        <v>5</v>
      </c>
      <c r="I302" s="215"/>
      <c r="J302" s="215"/>
      <c r="K302" s="216">
        <v>5</v>
      </c>
      <c r="L302" s="126"/>
      <c r="M302" s="124"/>
      <c r="N302" s="124"/>
      <c r="O302" s="122"/>
      <c r="P302" s="127"/>
      <c r="Q302" s="128"/>
      <c r="R302" s="1641"/>
      <c r="S302" s="1687"/>
      <c r="T302" s="1731"/>
      <c r="U302" s="1700"/>
    </row>
    <row r="303" spans="1:26" ht="15" customHeight="1" x14ac:dyDescent="0.2">
      <c r="A303" s="1634"/>
      <c r="B303" s="1607"/>
      <c r="C303" s="1728"/>
      <c r="D303" s="1701"/>
      <c r="E303" s="1695"/>
      <c r="F303" s="1618"/>
      <c r="G303" s="13" t="s">
        <v>36</v>
      </c>
      <c r="H303" s="191"/>
      <c r="I303" s="215"/>
      <c r="J303" s="215"/>
      <c r="K303" s="216"/>
      <c r="L303" s="49"/>
      <c r="M303" s="215"/>
      <c r="N303" s="215"/>
      <c r="O303" s="23"/>
      <c r="P303" s="14"/>
      <c r="Q303" s="21"/>
      <c r="R303" s="1641"/>
      <c r="S303" s="1687"/>
      <c r="T303" s="1731"/>
      <c r="U303" s="1700"/>
    </row>
    <row r="304" spans="1:26" ht="15" customHeight="1" x14ac:dyDescent="0.2">
      <c r="A304" s="1634"/>
      <c r="B304" s="1607"/>
      <c r="C304" s="1728"/>
      <c r="D304" s="1701"/>
      <c r="E304" s="1695"/>
      <c r="F304" s="1618"/>
      <c r="G304" s="13" t="s">
        <v>72</v>
      </c>
      <c r="H304" s="191"/>
      <c r="I304" s="215"/>
      <c r="J304" s="215"/>
      <c r="K304" s="216"/>
      <c r="L304" s="49"/>
      <c r="M304" s="215"/>
      <c r="N304" s="215"/>
      <c r="O304" s="23"/>
      <c r="P304" s="14"/>
      <c r="Q304" s="21"/>
      <c r="R304" s="1641"/>
      <c r="S304" s="1687"/>
      <c r="T304" s="1731"/>
      <c r="U304" s="1700"/>
    </row>
    <row r="305" spans="1:26" ht="15" customHeight="1" x14ac:dyDescent="0.2">
      <c r="A305" s="1634"/>
      <c r="B305" s="1607"/>
      <c r="C305" s="1729"/>
      <c r="D305" s="1679"/>
      <c r="E305" s="1615"/>
      <c r="F305" s="1619"/>
      <c r="G305" s="24" t="s">
        <v>13</v>
      </c>
      <c r="H305" s="28">
        <f>+H298+H299+H300+H303+H304</f>
        <v>5</v>
      </c>
      <c r="I305" s="26">
        <f t="shared" ref="I305:Q305" si="85">+I298+I299+I300+I303+I304</f>
        <v>0</v>
      </c>
      <c r="J305" s="26">
        <f t="shared" si="85"/>
        <v>0</v>
      </c>
      <c r="K305" s="31">
        <f t="shared" si="85"/>
        <v>5</v>
      </c>
      <c r="L305" s="27">
        <f t="shared" si="85"/>
        <v>0</v>
      </c>
      <c r="M305" s="26">
        <f t="shared" si="85"/>
        <v>0</v>
      </c>
      <c r="N305" s="26">
        <f t="shared" si="85"/>
        <v>0</v>
      </c>
      <c r="O305" s="30">
        <f t="shared" si="85"/>
        <v>0</v>
      </c>
      <c r="P305" s="32">
        <f t="shared" si="85"/>
        <v>125</v>
      </c>
      <c r="Q305" s="25">
        <f t="shared" si="85"/>
        <v>0</v>
      </c>
      <c r="R305" s="1641"/>
      <c r="S305" s="26"/>
      <c r="T305" s="26"/>
      <c r="U305" s="31"/>
    </row>
    <row r="306" spans="1:26" ht="15" customHeight="1" x14ac:dyDescent="0.2">
      <c r="A306" s="1634" t="s">
        <v>17</v>
      </c>
      <c r="B306" s="1606" t="s">
        <v>19</v>
      </c>
      <c r="C306" s="1699" t="s">
        <v>96</v>
      </c>
      <c r="D306" s="1701" t="s">
        <v>164</v>
      </c>
      <c r="E306" s="1695" t="s">
        <v>56</v>
      </c>
      <c r="F306" s="1618">
        <v>1</v>
      </c>
      <c r="G306" s="23" t="s">
        <v>30</v>
      </c>
      <c r="H306" s="191"/>
      <c r="I306" s="215"/>
      <c r="J306" s="215"/>
      <c r="K306" s="216"/>
      <c r="L306" s="49"/>
      <c r="M306" s="215"/>
      <c r="N306" s="215"/>
      <c r="O306" s="23"/>
      <c r="P306" s="14">
        <v>100</v>
      </c>
      <c r="Q306" s="21"/>
      <c r="R306" s="1641" t="s">
        <v>126</v>
      </c>
      <c r="S306" s="1687"/>
      <c r="T306" s="1687"/>
      <c r="U306" s="1726" t="s">
        <v>203</v>
      </c>
    </row>
    <row r="307" spans="1:26" ht="15" customHeight="1" x14ac:dyDescent="0.2">
      <c r="A307" s="1634"/>
      <c r="B307" s="1607"/>
      <c r="C307" s="1728"/>
      <c r="D307" s="1701"/>
      <c r="E307" s="1695"/>
      <c r="F307" s="1618"/>
      <c r="G307" s="13" t="s">
        <v>73</v>
      </c>
      <c r="H307" s="191"/>
      <c r="I307" s="215"/>
      <c r="J307" s="215"/>
      <c r="K307" s="216"/>
      <c r="L307" s="49"/>
      <c r="M307" s="215"/>
      <c r="N307" s="215"/>
      <c r="O307" s="23"/>
      <c r="P307" s="14"/>
      <c r="Q307" s="21"/>
      <c r="R307" s="1641"/>
      <c r="S307" s="1687"/>
      <c r="T307" s="1687"/>
      <c r="U307" s="1700"/>
    </row>
    <row r="308" spans="1:26" ht="15" customHeight="1" x14ac:dyDescent="0.2">
      <c r="A308" s="1634"/>
      <c r="B308" s="1607"/>
      <c r="C308" s="1728"/>
      <c r="D308" s="1701"/>
      <c r="E308" s="1695"/>
      <c r="F308" s="1618"/>
      <c r="G308" s="15" t="s">
        <v>59</v>
      </c>
      <c r="H308" s="16">
        <f>+H309+H310</f>
        <v>5</v>
      </c>
      <c r="I308" s="17">
        <f t="shared" ref="I308:Q308" si="86">+I309+I310</f>
        <v>0</v>
      </c>
      <c r="J308" s="17">
        <f t="shared" si="86"/>
        <v>0</v>
      </c>
      <c r="K308" s="19">
        <f t="shared" si="86"/>
        <v>5</v>
      </c>
      <c r="L308" s="50">
        <f t="shared" si="86"/>
        <v>0</v>
      </c>
      <c r="M308" s="17">
        <f t="shared" si="86"/>
        <v>0</v>
      </c>
      <c r="N308" s="17">
        <f t="shared" si="86"/>
        <v>0</v>
      </c>
      <c r="O308" s="18">
        <f t="shared" si="86"/>
        <v>0</v>
      </c>
      <c r="P308" s="20">
        <f t="shared" si="86"/>
        <v>25</v>
      </c>
      <c r="Q308" s="37">
        <f t="shared" si="86"/>
        <v>0</v>
      </c>
      <c r="R308" s="1641"/>
      <c r="S308" s="1687"/>
      <c r="T308" s="1687"/>
      <c r="U308" s="1700"/>
      <c r="W308" s="1689"/>
      <c r="X308" s="1689"/>
      <c r="Y308" s="1689"/>
    </row>
    <row r="309" spans="1:26" ht="15" customHeight="1" x14ac:dyDescent="0.2">
      <c r="A309" s="1634"/>
      <c r="B309" s="1607"/>
      <c r="C309" s="1728"/>
      <c r="D309" s="1701"/>
      <c r="E309" s="1695"/>
      <c r="F309" s="1618"/>
      <c r="G309" s="101" t="s">
        <v>130</v>
      </c>
      <c r="H309" s="191"/>
      <c r="I309" s="215"/>
      <c r="J309" s="215"/>
      <c r="K309" s="216"/>
      <c r="L309" s="155"/>
      <c r="M309" s="142"/>
      <c r="N309" s="142"/>
      <c r="O309" s="156"/>
      <c r="P309" s="157">
        <v>25</v>
      </c>
      <c r="Q309" s="158"/>
      <c r="R309" s="1641"/>
      <c r="S309" s="1687"/>
      <c r="T309" s="1687"/>
      <c r="U309" s="1700"/>
    </row>
    <row r="310" spans="1:26" ht="15" customHeight="1" x14ac:dyDescent="0.2">
      <c r="A310" s="1634"/>
      <c r="B310" s="1607"/>
      <c r="C310" s="1728"/>
      <c r="D310" s="1701"/>
      <c r="E310" s="1695"/>
      <c r="F310" s="1618"/>
      <c r="G310" s="101" t="s">
        <v>71</v>
      </c>
      <c r="H310" s="191">
        <v>5</v>
      </c>
      <c r="I310" s="215"/>
      <c r="J310" s="215"/>
      <c r="K310" s="216">
        <v>5</v>
      </c>
      <c r="L310" s="126"/>
      <c r="M310" s="124"/>
      <c r="N310" s="124"/>
      <c r="O310" s="122"/>
      <c r="P310" s="127"/>
      <c r="Q310" s="128"/>
      <c r="R310" s="1641"/>
      <c r="S310" s="1687"/>
      <c r="T310" s="1687"/>
      <c r="U310" s="1700"/>
      <c r="V310" s="1649"/>
      <c r="W310" s="1697"/>
      <c r="X310" s="1697"/>
      <c r="Y310" s="1697"/>
      <c r="Z310" s="1697"/>
    </row>
    <row r="311" spans="1:26" ht="15" customHeight="1" x14ac:dyDescent="0.2">
      <c r="A311" s="1634"/>
      <c r="B311" s="1607"/>
      <c r="C311" s="1728"/>
      <c r="D311" s="1701"/>
      <c r="E311" s="1695"/>
      <c r="F311" s="1618"/>
      <c r="G311" s="13" t="s">
        <v>36</v>
      </c>
      <c r="H311" s="191"/>
      <c r="I311" s="215"/>
      <c r="J311" s="215"/>
      <c r="K311" s="216"/>
      <c r="L311" s="49"/>
      <c r="M311" s="215"/>
      <c r="N311" s="215"/>
      <c r="O311" s="23"/>
      <c r="P311" s="14"/>
      <c r="Q311" s="21"/>
      <c r="R311" s="1641"/>
      <c r="S311" s="1687"/>
      <c r="T311" s="1687"/>
      <c r="U311" s="1700"/>
    </row>
    <row r="312" spans="1:26" ht="15" customHeight="1" x14ac:dyDescent="0.2">
      <c r="A312" s="1634"/>
      <c r="B312" s="1607"/>
      <c r="C312" s="1728"/>
      <c r="D312" s="1701"/>
      <c r="E312" s="1695"/>
      <c r="F312" s="1618"/>
      <c r="G312" s="13" t="s">
        <v>72</v>
      </c>
      <c r="H312" s="191"/>
      <c r="I312" s="215"/>
      <c r="J312" s="215"/>
      <c r="K312" s="216"/>
      <c r="L312" s="49"/>
      <c r="M312" s="215"/>
      <c r="N312" s="215"/>
      <c r="O312" s="23"/>
      <c r="P312" s="14"/>
      <c r="Q312" s="21"/>
      <c r="R312" s="1641"/>
      <c r="S312" s="1687"/>
      <c r="T312" s="1687"/>
      <c r="U312" s="1700"/>
    </row>
    <row r="313" spans="1:26" ht="15" customHeight="1" x14ac:dyDescent="0.2">
      <c r="A313" s="1603"/>
      <c r="B313" s="1607"/>
      <c r="C313" s="1729"/>
      <c r="D313" s="1679"/>
      <c r="E313" s="1615"/>
      <c r="F313" s="1619"/>
      <c r="G313" s="24" t="s">
        <v>13</v>
      </c>
      <c r="H313" s="28">
        <f>+H306+H307+H308+H311+H312</f>
        <v>5</v>
      </c>
      <c r="I313" s="26">
        <f t="shared" ref="I313:Q313" si="87">+I306+I307+I308+I311+I312</f>
        <v>0</v>
      </c>
      <c r="J313" s="26">
        <f t="shared" si="87"/>
        <v>0</v>
      </c>
      <c r="K313" s="31">
        <f t="shared" si="87"/>
        <v>5</v>
      </c>
      <c r="L313" s="27">
        <f t="shared" si="87"/>
        <v>0</v>
      </c>
      <c r="M313" s="26">
        <f t="shared" si="87"/>
        <v>0</v>
      </c>
      <c r="N313" s="26">
        <f t="shared" si="87"/>
        <v>0</v>
      </c>
      <c r="O313" s="30">
        <f t="shared" si="87"/>
        <v>0</v>
      </c>
      <c r="P313" s="32">
        <f t="shared" si="87"/>
        <v>125</v>
      </c>
      <c r="Q313" s="25">
        <f t="shared" si="87"/>
        <v>0</v>
      </c>
      <c r="R313" s="1641"/>
      <c r="S313" s="26"/>
      <c r="T313" s="26"/>
      <c r="U313" s="31"/>
    </row>
    <row r="314" spans="1:26" ht="15" customHeight="1" x14ac:dyDescent="0.2">
      <c r="A314" s="1634" t="s">
        <v>17</v>
      </c>
      <c r="B314" s="1606" t="s">
        <v>19</v>
      </c>
      <c r="C314" s="1699" t="s">
        <v>97</v>
      </c>
      <c r="D314" s="1701" t="s">
        <v>165</v>
      </c>
      <c r="E314" s="1695" t="s">
        <v>56</v>
      </c>
      <c r="F314" s="1619">
        <v>1</v>
      </c>
      <c r="G314" s="23" t="s">
        <v>30</v>
      </c>
      <c r="H314" s="191"/>
      <c r="I314" s="215"/>
      <c r="J314" s="215"/>
      <c r="K314" s="216"/>
      <c r="L314" s="49"/>
      <c r="M314" s="215"/>
      <c r="N314" s="215"/>
      <c r="O314" s="23"/>
      <c r="P314" s="14">
        <v>100</v>
      </c>
      <c r="Q314" s="21"/>
      <c r="R314" s="1641" t="s">
        <v>126</v>
      </c>
      <c r="S314" s="1687"/>
      <c r="T314" s="1687"/>
      <c r="U314" s="1726" t="s">
        <v>203</v>
      </c>
    </row>
    <row r="315" spans="1:26" ht="15" customHeight="1" x14ac:dyDescent="0.2">
      <c r="A315" s="1634"/>
      <c r="B315" s="1607"/>
      <c r="C315" s="1728"/>
      <c r="D315" s="1701"/>
      <c r="E315" s="1695"/>
      <c r="F315" s="1618"/>
      <c r="G315" s="13" t="s">
        <v>73</v>
      </c>
      <c r="H315" s="191"/>
      <c r="I315" s="215"/>
      <c r="J315" s="215"/>
      <c r="K315" s="216"/>
      <c r="L315" s="49"/>
      <c r="M315" s="215"/>
      <c r="N315" s="215"/>
      <c r="O315" s="23"/>
      <c r="P315" s="14"/>
      <c r="Q315" s="21"/>
      <c r="R315" s="1641"/>
      <c r="S315" s="1687"/>
      <c r="T315" s="1687"/>
      <c r="U315" s="1700"/>
    </row>
    <row r="316" spans="1:26" ht="15" customHeight="1" x14ac:dyDescent="0.2">
      <c r="A316" s="1634"/>
      <c r="B316" s="1607"/>
      <c r="C316" s="1728"/>
      <c r="D316" s="1701"/>
      <c r="E316" s="1695"/>
      <c r="F316" s="1618"/>
      <c r="G316" s="15" t="s">
        <v>59</v>
      </c>
      <c r="H316" s="16">
        <f>+H317+H318</f>
        <v>5</v>
      </c>
      <c r="I316" s="17">
        <f t="shared" ref="I316:Q316" si="88">+I317+I318</f>
        <v>0</v>
      </c>
      <c r="J316" s="17">
        <f t="shared" si="88"/>
        <v>0</v>
      </c>
      <c r="K316" s="19">
        <f t="shared" si="88"/>
        <v>5</v>
      </c>
      <c r="L316" s="50">
        <f t="shared" si="88"/>
        <v>0.3</v>
      </c>
      <c r="M316" s="17">
        <f t="shared" si="88"/>
        <v>0</v>
      </c>
      <c r="N316" s="17">
        <f t="shared" si="88"/>
        <v>0</v>
      </c>
      <c r="O316" s="18">
        <f t="shared" si="88"/>
        <v>0.3</v>
      </c>
      <c r="P316" s="20">
        <f t="shared" si="88"/>
        <v>25</v>
      </c>
      <c r="Q316" s="37">
        <f t="shared" si="88"/>
        <v>0</v>
      </c>
      <c r="R316" s="1641"/>
      <c r="S316" s="1687"/>
      <c r="T316" s="1687"/>
      <c r="U316" s="1700"/>
    </row>
    <row r="317" spans="1:26" ht="15" customHeight="1" x14ac:dyDescent="0.2">
      <c r="A317" s="1634"/>
      <c r="B317" s="1607"/>
      <c r="C317" s="1728"/>
      <c r="D317" s="1701"/>
      <c r="E317" s="1695"/>
      <c r="F317" s="1618"/>
      <c r="G317" s="101" t="s">
        <v>130</v>
      </c>
      <c r="H317" s="123"/>
      <c r="I317" s="124"/>
      <c r="J317" s="124"/>
      <c r="K317" s="125"/>
      <c r="L317" s="155"/>
      <c r="M317" s="142"/>
      <c r="N317" s="142"/>
      <c r="O317" s="156"/>
      <c r="P317" s="157">
        <v>25</v>
      </c>
      <c r="Q317" s="128"/>
      <c r="R317" s="1641"/>
      <c r="S317" s="1687"/>
      <c r="T317" s="1687"/>
      <c r="U317" s="1700"/>
      <c r="V317" s="1649"/>
      <c r="W317" s="1697"/>
      <c r="X317" s="1697"/>
      <c r="Y317" s="1697"/>
      <c r="Z317" s="1697"/>
    </row>
    <row r="318" spans="1:26" ht="15" customHeight="1" x14ac:dyDescent="0.2">
      <c r="A318" s="1634"/>
      <c r="B318" s="1607"/>
      <c r="C318" s="1728"/>
      <c r="D318" s="1701"/>
      <c r="E318" s="1695"/>
      <c r="F318" s="1618"/>
      <c r="G318" s="13" t="s">
        <v>71</v>
      </c>
      <c r="H318" s="191">
        <v>5</v>
      </c>
      <c r="I318" s="215"/>
      <c r="J318" s="215"/>
      <c r="K318" s="216">
        <v>5</v>
      </c>
      <c r="L318" s="49">
        <v>0.3</v>
      </c>
      <c r="M318" s="215"/>
      <c r="N318" s="215"/>
      <c r="O318" s="23">
        <v>0.3</v>
      </c>
      <c r="P318" s="157"/>
      <c r="Q318" s="128"/>
      <c r="R318" s="1641"/>
      <c r="S318" s="1687"/>
      <c r="T318" s="1687"/>
      <c r="U318" s="1700"/>
    </row>
    <row r="319" spans="1:26" ht="15" customHeight="1" x14ac:dyDescent="0.2">
      <c r="A319" s="1634"/>
      <c r="B319" s="1607"/>
      <c r="C319" s="1728"/>
      <c r="D319" s="1701"/>
      <c r="E319" s="1695"/>
      <c r="F319" s="1618"/>
      <c r="G319" s="13" t="s">
        <v>36</v>
      </c>
      <c r="H319" s="191"/>
      <c r="I319" s="215"/>
      <c r="J319" s="215"/>
      <c r="K319" s="216"/>
      <c r="L319" s="49"/>
      <c r="M319" s="215"/>
      <c r="N319" s="215"/>
      <c r="O319" s="23"/>
      <c r="P319" s="14"/>
      <c r="Q319" s="21"/>
      <c r="R319" s="1641"/>
      <c r="S319" s="1687"/>
      <c r="T319" s="1687"/>
      <c r="U319" s="1700"/>
      <c r="W319" s="1689"/>
      <c r="X319" s="1689"/>
      <c r="Y319" s="1689"/>
      <c r="Z319" s="1689"/>
    </row>
    <row r="320" spans="1:26" ht="15" customHeight="1" x14ac:dyDescent="0.2">
      <c r="A320" s="1634"/>
      <c r="B320" s="1607"/>
      <c r="C320" s="1728"/>
      <c r="D320" s="1701"/>
      <c r="E320" s="1695"/>
      <c r="F320" s="1618"/>
      <c r="G320" s="13" t="s">
        <v>72</v>
      </c>
      <c r="H320" s="191"/>
      <c r="I320" s="215"/>
      <c r="J320" s="215"/>
      <c r="K320" s="216"/>
      <c r="L320" s="49"/>
      <c r="M320" s="215"/>
      <c r="N320" s="215"/>
      <c r="O320" s="23"/>
      <c r="P320" s="14"/>
      <c r="Q320" s="21"/>
      <c r="R320" s="1641"/>
      <c r="S320" s="1687"/>
      <c r="T320" s="1687"/>
      <c r="U320" s="1700"/>
    </row>
    <row r="321" spans="1:26" ht="15" customHeight="1" x14ac:dyDescent="0.2">
      <c r="A321" s="1634"/>
      <c r="B321" s="1725"/>
      <c r="C321" s="1699"/>
      <c r="D321" s="1701"/>
      <c r="E321" s="1695"/>
      <c r="F321" s="1619"/>
      <c r="G321" s="24" t="s">
        <v>13</v>
      </c>
      <c r="H321" s="28">
        <f>+H314+H315+H316+H319+H320</f>
        <v>5</v>
      </c>
      <c r="I321" s="26">
        <f t="shared" ref="I321:Q321" si="89">+I314+I315+I316+I319+I320</f>
        <v>0</v>
      </c>
      <c r="J321" s="26">
        <f t="shared" si="89"/>
        <v>0</v>
      </c>
      <c r="K321" s="31">
        <f t="shared" si="89"/>
        <v>5</v>
      </c>
      <c r="L321" s="27">
        <f t="shared" si="89"/>
        <v>0.3</v>
      </c>
      <c r="M321" s="26">
        <f t="shared" si="89"/>
        <v>0</v>
      </c>
      <c r="N321" s="26">
        <f t="shared" si="89"/>
        <v>0</v>
      </c>
      <c r="O321" s="30">
        <f t="shared" si="89"/>
        <v>0.3</v>
      </c>
      <c r="P321" s="32">
        <f t="shared" si="89"/>
        <v>125</v>
      </c>
      <c r="Q321" s="25">
        <f t="shared" si="89"/>
        <v>0</v>
      </c>
      <c r="R321" s="1641"/>
      <c r="S321" s="26"/>
      <c r="T321" s="26"/>
      <c r="U321" s="31"/>
    </row>
    <row r="322" spans="1:26" ht="15" customHeight="1" x14ac:dyDescent="0.2">
      <c r="A322" s="1634" t="s">
        <v>17</v>
      </c>
      <c r="B322" s="1606" t="s">
        <v>19</v>
      </c>
      <c r="C322" s="1699" t="s">
        <v>98</v>
      </c>
      <c r="D322" s="1694" t="s">
        <v>166</v>
      </c>
      <c r="E322" s="1695" t="s">
        <v>152</v>
      </c>
      <c r="F322" s="1618">
        <v>1</v>
      </c>
      <c r="G322" s="23" t="s">
        <v>30</v>
      </c>
      <c r="H322" s="191"/>
      <c r="I322" s="215"/>
      <c r="J322" s="215"/>
      <c r="K322" s="216"/>
      <c r="L322" s="49"/>
      <c r="M322" s="215"/>
      <c r="N322" s="215"/>
      <c r="O322" s="23"/>
      <c r="P322" s="14"/>
      <c r="Q322" s="21"/>
      <c r="R322" s="1641" t="s">
        <v>168</v>
      </c>
      <c r="S322" s="1687"/>
      <c r="T322" s="1687"/>
      <c r="U322" s="1726" t="s">
        <v>201</v>
      </c>
    </row>
    <row r="323" spans="1:26" ht="15" customHeight="1" x14ac:dyDescent="0.2">
      <c r="A323" s="1634"/>
      <c r="B323" s="1607"/>
      <c r="C323" s="1728"/>
      <c r="D323" s="1694"/>
      <c r="E323" s="1695"/>
      <c r="F323" s="1618"/>
      <c r="G323" s="13" t="s">
        <v>73</v>
      </c>
      <c r="H323" s="191"/>
      <c r="I323" s="215"/>
      <c r="J323" s="215"/>
      <c r="K323" s="216"/>
      <c r="L323" s="49"/>
      <c r="M323" s="215"/>
      <c r="N323" s="215"/>
      <c r="O323" s="23"/>
      <c r="P323" s="14"/>
      <c r="Q323" s="21"/>
      <c r="R323" s="1641"/>
      <c r="S323" s="1687"/>
      <c r="T323" s="1687"/>
      <c r="U323" s="1700"/>
    </row>
    <row r="324" spans="1:26" ht="15" customHeight="1" x14ac:dyDescent="0.2">
      <c r="A324" s="1634"/>
      <c r="B324" s="1607"/>
      <c r="C324" s="1728"/>
      <c r="D324" s="1694"/>
      <c r="E324" s="1695"/>
      <c r="F324" s="1618"/>
      <c r="G324" s="15" t="s">
        <v>59</v>
      </c>
      <c r="H324" s="16">
        <f>+H325+H326</f>
        <v>5</v>
      </c>
      <c r="I324" s="17">
        <f t="shared" ref="I324:Q324" si="90">+I325+I326</f>
        <v>0</v>
      </c>
      <c r="J324" s="17">
        <f t="shared" si="90"/>
        <v>0</v>
      </c>
      <c r="K324" s="19">
        <f t="shared" si="90"/>
        <v>5</v>
      </c>
      <c r="L324" s="50">
        <f t="shared" si="90"/>
        <v>0.3</v>
      </c>
      <c r="M324" s="17">
        <f t="shared" si="90"/>
        <v>0</v>
      </c>
      <c r="N324" s="17">
        <f t="shared" si="90"/>
        <v>0</v>
      </c>
      <c r="O324" s="18">
        <f t="shared" si="90"/>
        <v>0.3</v>
      </c>
      <c r="P324" s="20">
        <f t="shared" si="90"/>
        <v>0</v>
      </c>
      <c r="Q324" s="37">
        <f t="shared" si="90"/>
        <v>0</v>
      </c>
      <c r="R324" s="1641"/>
      <c r="S324" s="1687"/>
      <c r="T324" s="1687"/>
      <c r="U324" s="1700"/>
      <c r="V324" s="1688"/>
      <c r="W324" s="1689"/>
      <c r="X324" s="1689"/>
    </row>
    <row r="325" spans="1:26" ht="15" customHeight="1" x14ac:dyDescent="0.2">
      <c r="A325" s="1634"/>
      <c r="B325" s="1607"/>
      <c r="C325" s="1728"/>
      <c r="D325" s="1694"/>
      <c r="E325" s="1695"/>
      <c r="F325" s="1618"/>
      <c r="G325" s="101" t="s">
        <v>130</v>
      </c>
      <c r="H325" s="123"/>
      <c r="I325" s="124"/>
      <c r="J325" s="124"/>
      <c r="K325" s="125"/>
      <c r="L325" s="155"/>
      <c r="M325" s="142"/>
      <c r="N325" s="142"/>
      <c r="O325" s="156"/>
      <c r="P325" s="127"/>
      <c r="Q325" s="128"/>
      <c r="R325" s="1641"/>
      <c r="S325" s="1687"/>
      <c r="T325" s="1687"/>
      <c r="U325" s="1700"/>
    </row>
    <row r="326" spans="1:26" ht="15" customHeight="1" x14ac:dyDescent="0.2">
      <c r="A326" s="1634"/>
      <c r="B326" s="1607"/>
      <c r="C326" s="1728"/>
      <c r="D326" s="1694"/>
      <c r="E326" s="1695"/>
      <c r="F326" s="1618"/>
      <c r="G326" s="101" t="s">
        <v>71</v>
      </c>
      <c r="H326" s="191">
        <v>5</v>
      </c>
      <c r="I326" s="215"/>
      <c r="J326" s="215"/>
      <c r="K326" s="216">
        <v>5</v>
      </c>
      <c r="L326" s="155">
        <v>0.3</v>
      </c>
      <c r="M326" s="142"/>
      <c r="N326" s="142"/>
      <c r="O326" s="156">
        <v>0.3</v>
      </c>
      <c r="P326" s="127"/>
      <c r="Q326" s="128"/>
      <c r="R326" s="1641"/>
      <c r="S326" s="1687"/>
      <c r="T326" s="1687"/>
      <c r="U326" s="1700"/>
      <c r="V326" s="1649"/>
      <c r="W326" s="1697"/>
      <c r="X326" s="1697"/>
      <c r="Y326" s="1697"/>
      <c r="Z326" s="1697"/>
    </row>
    <row r="327" spans="1:26" ht="15" customHeight="1" x14ac:dyDescent="0.2">
      <c r="A327" s="1634"/>
      <c r="B327" s="1607"/>
      <c r="C327" s="1728"/>
      <c r="D327" s="1694"/>
      <c r="E327" s="1695"/>
      <c r="F327" s="1618"/>
      <c r="G327" s="13" t="s">
        <v>36</v>
      </c>
      <c r="H327" s="191"/>
      <c r="I327" s="215"/>
      <c r="J327" s="215"/>
      <c r="K327" s="216"/>
      <c r="L327" s="49"/>
      <c r="M327" s="215"/>
      <c r="N327" s="215"/>
      <c r="O327" s="23"/>
      <c r="P327" s="14"/>
      <c r="Q327" s="21"/>
      <c r="R327" s="1641"/>
      <c r="S327" s="1687"/>
      <c r="T327" s="1687"/>
      <c r="U327" s="1700"/>
    </row>
    <row r="328" spans="1:26" ht="15" customHeight="1" x14ac:dyDescent="0.2">
      <c r="A328" s="1634"/>
      <c r="B328" s="1607"/>
      <c r="C328" s="1728"/>
      <c r="D328" s="1694"/>
      <c r="E328" s="1695"/>
      <c r="F328" s="1618"/>
      <c r="G328" s="13" t="s">
        <v>72</v>
      </c>
      <c r="H328" s="191"/>
      <c r="I328" s="215"/>
      <c r="J328" s="215"/>
      <c r="K328" s="216"/>
      <c r="L328" s="49"/>
      <c r="M328" s="215"/>
      <c r="N328" s="215"/>
      <c r="O328" s="23"/>
      <c r="P328" s="14"/>
      <c r="Q328" s="21"/>
      <c r="R328" s="1641"/>
      <c r="S328" s="1687"/>
      <c r="T328" s="1687"/>
      <c r="U328" s="1700"/>
    </row>
    <row r="329" spans="1:26" ht="15.75" customHeight="1" x14ac:dyDescent="0.2">
      <c r="A329" s="1634"/>
      <c r="B329" s="1725"/>
      <c r="C329" s="1699"/>
      <c r="D329" s="1694"/>
      <c r="E329" s="1695"/>
      <c r="F329" s="1619"/>
      <c r="G329" s="24" t="s">
        <v>13</v>
      </c>
      <c r="H329" s="28">
        <f>+H322+H323+H324+H327+H328</f>
        <v>5</v>
      </c>
      <c r="I329" s="26">
        <f t="shared" ref="I329:Q329" si="91">+I322+I323+I324+I327+I328</f>
        <v>0</v>
      </c>
      <c r="J329" s="26">
        <f t="shared" si="91"/>
        <v>0</v>
      </c>
      <c r="K329" s="31">
        <f t="shared" si="91"/>
        <v>5</v>
      </c>
      <c r="L329" s="27">
        <f t="shared" si="91"/>
        <v>0.3</v>
      </c>
      <c r="M329" s="26">
        <f t="shared" si="91"/>
        <v>0</v>
      </c>
      <c r="N329" s="26">
        <f t="shared" si="91"/>
        <v>0</v>
      </c>
      <c r="O329" s="30">
        <f t="shared" si="91"/>
        <v>0.3</v>
      </c>
      <c r="P329" s="32">
        <f t="shared" si="91"/>
        <v>0</v>
      </c>
      <c r="Q329" s="25">
        <f t="shared" si="91"/>
        <v>0</v>
      </c>
      <c r="R329" s="1641"/>
      <c r="S329" s="26"/>
      <c r="T329" s="26"/>
      <c r="U329" s="31"/>
    </row>
    <row r="330" spans="1:26" ht="14.85" customHeight="1" x14ac:dyDescent="0.2">
      <c r="A330" s="1727" t="s">
        <v>17</v>
      </c>
      <c r="B330" s="1606" t="s">
        <v>19</v>
      </c>
      <c r="C330" s="1699" t="s">
        <v>111</v>
      </c>
      <c r="D330" s="1694" t="s">
        <v>167</v>
      </c>
      <c r="E330" s="1695" t="s">
        <v>56</v>
      </c>
      <c r="F330" s="1618">
        <v>1</v>
      </c>
      <c r="G330" s="23" t="s">
        <v>30</v>
      </c>
      <c r="H330" s="191"/>
      <c r="I330" s="215"/>
      <c r="J330" s="215"/>
      <c r="K330" s="216"/>
      <c r="L330" s="49"/>
      <c r="M330" s="215"/>
      <c r="N330" s="215"/>
      <c r="O330" s="23"/>
      <c r="P330" s="14"/>
      <c r="Q330" s="21"/>
      <c r="R330" s="1641" t="s">
        <v>168</v>
      </c>
      <c r="S330" s="1687"/>
      <c r="T330" s="1687"/>
      <c r="U330" s="1726" t="s">
        <v>201</v>
      </c>
    </row>
    <row r="331" spans="1:26" ht="14.85" customHeight="1" x14ac:dyDescent="0.2">
      <c r="A331" s="1727"/>
      <c r="B331" s="1607"/>
      <c r="C331" s="1728"/>
      <c r="D331" s="1694"/>
      <c r="E331" s="1695"/>
      <c r="F331" s="1618"/>
      <c r="G331" s="13" t="s">
        <v>73</v>
      </c>
      <c r="H331" s="191"/>
      <c r="I331" s="215"/>
      <c r="J331" s="215"/>
      <c r="K331" s="216"/>
      <c r="L331" s="49"/>
      <c r="M331" s="215"/>
      <c r="N331" s="215"/>
      <c r="O331" s="23"/>
      <c r="P331" s="14"/>
      <c r="Q331" s="21"/>
      <c r="R331" s="1641"/>
      <c r="S331" s="1687"/>
      <c r="T331" s="1687"/>
      <c r="U331" s="1700"/>
    </row>
    <row r="332" spans="1:26" ht="14.85" customHeight="1" x14ac:dyDescent="0.2">
      <c r="A332" s="1727"/>
      <c r="B332" s="1607"/>
      <c r="C332" s="1728"/>
      <c r="D332" s="1694"/>
      <c r="E332" s="1695"/>
      <c r="F332" s="1618"/>
      <c r="G332" s="15" t="s">
        <v>59</v>
      </c>
      <c r="H332" s="16">
        <f>+H333+H334</f>
        <v>0</v>
      </c>
      <c r="I332" s="17">
        <f t="shared" ref="I332:Q332" si="92">+I333+I334</f>
        <v>0</v>
      </c>
      <c r="J332" s="17">
        <f t="shared" si="92"/>
        <v>0</v>
      </c>
      <c r="K332" s="19">
        <f t="shared" si="92"/>
        <v>0</v>
      </c>
      <c r="L332" s="50">
        <f t="shared" si="92"/>
        <v>0</v>
      </c>
      <c r="M332" s="17">
        <f t="shared" si="92"/>
        <v>0</v>
      </c>
      <c r="N332" s="17">
        <f t="shared" si="92"/>
        <v>0</v>
      </c>
      <c r="O332" s="18">
        <f t="shared" si="92"/>
        <v>0</v>
      </c>
      <c r="P332" s="20">
        <f t="shared" si="92"/>
        <v>0</v>
      </c>
      <c r="Q332" s="37">
        <f t="shared" si="92"/>
        <v>0</v>
      </c>
      <c r="R332" s="1641"/>
      <c r="S332" s="1687"/>
      <c r="T332" s="1687"/>
      <c r="U332" s="1700"/>
    </row>
    <row r="333" spans="1:26" ht="14.85" customHeight="1" x14ac:dyDescent="0.2">
      <c r="A333" s="1727"/>
      <c r="B333" s="1607"/>
      <c r="C333" s="1728"/>
      <c r="D333" s="1694"/>
      <c r="E333" s="1695"/>
      <c r="F333" s="1618"/>
      <c r="G333" s="101" t="s">
        <v>130</v>
      </c>
      <c r="H333" s="123"/>
      <c r="I333" s="124"/>
      <c r="J333" s="124"/>
      <c r="K333" s="125"/>
      <c r="L333" s="159"/>
      <c r="M333" s="160"/>
      <c r="N333" s="160"/>
      <c r="O333" s="161"/>
      <c r="P333" s="127"/>
      <c r="Q333" s="128"/>
      <c r="R333" s="1641"/>
      <c r="S333" s="1687"/>
      <c r="T333" s="1687"/>
      <c r="U333" s="1700"/>
      <c r="V333" s="1649"/>
      <c r="W333" s="1697"/>
      <c r="X333" s="1697"/>
      <c r="Y333" s="1697"/>
      <c r="Z333" s="1697"/>
    </row>
    <row r="334" spans="1:26" ht="14.85" customHeight="1" x14ac:dyDescent="0.2">
      <c r="A334" s="1727"/>
      <c r="B334" s="1607"/>
      <c r="C334" s="1728"/>
      <c r="D334" s="1694"/>
      <c r="E334" s="1695"/>
      <c r="F334" s="1618"/>
      <c r="G334" s="101" t="s">
        <v>71</v>
      </c>
      <c r="H334" s="123"/>
      <c r="I334" s="124"/>
      <c r="J334" s="124"/>
      <c r="K334" s="125"/>
      <c r="L334" s="126"/>
      <c r="M334" s="124"/>
      <c r="N334" s="124"/>
      <c r="O334" s="122"/>
      <c r="P334" s="127"/>
      <c r="Q334" s="128"/>
      <c r="R334" s="1641"/>
      <c r="S334" s="1687"/>
      <c r="T334" s="1687"/>
      <c r="U334" s="1700"/>
    </row>
    <row r="335" spans="1:26" ht="14.85" customHeight="1" x14ac:dyDescent="0.2">
      <c r="A335" s="1727"/>
      <c r="B335" s="1607"/>
      <c r="C335" s="1728"/>
      <c r="D335" s="1694"/>
      <c r="E335" s="1695"/>
      <c r="F335" s="1618"/>
      <c r="G335" s="13" t="s">
        <v>36</v>
      </c>
      <c r="H335" s="191"/>
      <c r="I335" s="215"/>
      <c r="J335" s="215"/>
      <c r="K335" s="216"/>
      <c r="L335" s="49"/>
      <c r="M335" s="215"/>
      <c r="N335" s="215"/>
      <c r="O335" s="23"/>
      <c r="P335" s="14"/>
      <c r="Q335" s="21"/>
      <c r="R335" s="1641"/>
      <c r="S335" s="1687"/>
      <c r="T335" s="1687"/>
      <c r="U335" s="1700"/>
    </row>
    <row r="336" spans="1:26" ht="14.85" customHeight="1" x14ac:dyDescent="0.2">
      <c r="A336" s="1727"/>
      <c r="B336" s="1607"/>
      <c r="C336" s="1728"/>
      <c r="D336" s="1694"/>
      <c r="E336" s="1695"/>
      <c r="F336" s="1618"/>
      <c r="G336" s="13" t="s">
        <v>25</v>
      </c>
      <c r="H336" s="191"/>
      <c r="I336" s="215"/>
      <c r="J336" s="215"/>
      <c r="K336" s="216"/>
      <c r="L336" s="49"/>
      <c r="M336" s="215"/>
      <c r="N336" s="215"/>
      <c r="O336" s="23"/>
      <c r="P336" s="14"/>
      <c r="Q336" s="21"/>
      <c r="R336" s="1641"/>
      <c r="S336" s="1687"/>
      <c r="T336" s="1687"/>
      <c r="U336" s="1700"/>
    </row>
    <row r="337" spans="1:26" ht="14.85" customHeight="1" x14ac:dyDescent="0.2">
      <c r="A337" s="1727"/>
      <c r="B337" s="1725"/>
      <c r="C337" s="1699"/>
      <c r="D337" s="1694"/>
      <c r="E337" s="1695"/>
      <c r="F337" s="1619"/>
      <c r="G337" s="24" t="s">
        <v>13</v>
      </c>
      <c r="H337" s="28">
        <f>+H330+H331+H332+H335+H336</f>
        <v>0</v>
      </c>
      <c r="I337" s="26">
        <f t="shared" ref="I337:Q337" si="93">+I330+I331+I332+I335+I336</f>
        <v>0</v>
      </c>
      <c r="J337" s="26">
        <f t="shared" si="93"/>
        <v>0</v>
      </c>
      <c r="K337" s="31">
        <f t="shared" si="93"/>
        <v>0</v>
      </c>
      <c r="L337" s="27">
        <f t="shared" si="93"/>
        <v>0</v>
      </c>
      <c r="M337" s="26">
        <f t="shared" si="93"/>
        <v>0</v>
      </c>
      <c r="N337" s="26">
        <f t="shared" si="93"/>
        <v>0</v>
      </c>
      <c r="O337" s="30">
        <f t="shared" si="93"/>
        <v>0</v>
      </c>
      <c r="P337" s="32">
        <f t="shared" si="93"/>
        <v>0</v>
      </c>
      <c r="Q337" s="25">
        <f t="shared" si="93"/>
        <v>0</v>
      </c>
      <c r="R337" s="1641"/>
      <c r="S337" s="26"/>
      <c r="T337" s="26"/>
      <c r="U337" s="31"/>
    </row>
    <row r="338" spans="1:26" ht="14.85" customHeight="1" x14ac:dyDescent="0.2">
      <c r="A338" s="1727" t="s">
        <v>17</v>
      </c>
      <c r="B338" s="1606" t="s">
        <v>19</v>
      </c>
      <c r="C338" s="1636">
        <v>27</v>
      </c>
      <c r="D338" s="1701" t="s">
        <v>154</v>
      </c>
      <c r="E338" s="1695" t="s">
        <v>56</v>
      </c>
      <c r="F338" s="1618">
        <v>1</v>
      </c>
      <c r="G338" s="23" t="s">
        <v>30</v>
      </c>
      <c r="H338" s="191">
        <v>8.8000000000000007</v>
      </c>
      <c r="I338" s="215">
        <v>8.8000000000000007</v>
      </c>
      <c r="J338" s="215"/>
      <c r="K338" s="216"/>
      <c r="L338" s="49">
        <v>8.8000000000000007</v>
      </c>
      <c r="M338" s="215">
        <v>8.8000000000000007</v>
      </c>
      <c r="N338" s="215"/>
      <c r="O338" s="23"/>
      <c r="P338" s="14"/>
      <c r="Q338" s="21"/>
      <c r="R338" s="1703" t="s">
        <v>155</v>
      </c>
      <c r="S338" s="1687">
        <v>2</v>
      </c>
      <c r="T338" s="1687">
        <v>2</v>
      </c>
      <c r="U338" s="1693"/>
      <c r="V338" s="1715"/>
      <c r="W338" s="1689"/>
      <c r="X338" s="1689"/>
      <c r="Y338" s="1689"/>
    </row>
    <row r="339" spans="1:26" ht="14.85" customHeight="1" x14ac:dyDescent="0.2">
      <c r="A339" s="1727"/>
      <c r="B339" s="1607"/>
      <c r="C339" s="1721"/>
      <c r="D339" s="1701"/>
      <c r="E339" s="1695"/>
      <c r="F339" s="1618"/>
      <c r="G339" s="13" t="s">
        <v>73</v>
      </c>
      <c r="H339" s="191"/>
      <c r="I339" s="215"/>
      <c r="J339" s="215"/>
      <c r="K339" s="216"/>
      <c r="L339" s="49"/>
      <c r="M339" s="215"/>
      <c r="N339" s="215"/>
      <c r="O339" s="23"/>
      <c r="P339" s="14"/>
      <c r="Q339" s="21"/>
      <c r="R339" s="1703"/>
      <c r="S339" s="1687"/>
      <c r="T339" s="1687"/>
      <c r="U339" s="1693"/>
    </row>
    <row r="340" spans="1:26" ht="14.85" customHeight="1" x14ac:dyDescent="0.2">
      <c r="A340" s="1727"/>
      <c r="B340" s="1607"/>
      <c r="C340" s="1721"/>
      <c r="D340" s="1701"/>
      <c r="E340" s="1695"/>
      <c r="F340" s="1618"/>
      <c r="G340" s="15" t="s">
        <v>59</v>
      </c>
      <c r="H340" s="16">
        <f>+H341+H342</f>
        <v>1.3</v>
      </c>
      <c r="I340" s="17">
        <f t="shared" ref="I340:Q340" si="94">+I341+I342</f>
        <v>1.3</v>
      </c>
      <c r="J340" s="17">
        <f t="shared" si="94"/>
        <v>0</v>
      </c>
      <c r="K340" s="19">
        <f t="shared" si="94"/>
        <v>0</v>
      </c>
      <c r="L340" s="50">
        <f t="shared" si="94"/>
        <v>1.3</v>
      </c>
      <c r="M340" s="17">
        <f t="shared" si="94"/>
        <v>1.3</v>
      </c>
      <c r="N340" s="17">
        <f t="shared" si="94"/>
        <v>0</v>
      </c>
      <c r="O340" s="18">
        <f t="shared" si="94"/>
        <v>0</v>
      </c>
      <c r="P340" s="20">
        <f t="shared" si="94"/>
        <v>0</v>
      </c>
      <c r="Q340" s="37">
        <f t="shared" si="94"/>
        <v>0</v>
      </c>
      <c r="R340" s="1703"/>
      <c r="S340" s="1687"/>
      <c r="T340" s="1687"/>
      <c r="U340" s="1693"/>
    </row>
    <row r="341" spans="1:26" ht="14.85" customHeight="1" x14ac:dyDescent="0.2">
      <c r="A341" s="1727"/>
      <c r="B341" s="1607"/>
      <c r="C341" s="1721"/>
      <c r="D341" s="1701"/>
      <c r="E341" s="1695"/>
      <c r="F341" s="1618"/>
      <c r="G341" s="101" t="s">
        <v>130</v>
      </c>
      <c r="H341" s="123"/>
      <c r="I341" s="124"/>
      <c r="J341" s="124"/>
      <c r="K341" s="125"/>
      <c r="L341" s="155"/>
      <c r="M341" s="142"/>
      <c r="N341" s="124"/>
      <c r="O341" s="122"/>
      <c r="P341" s="127"/>
      <c r="Q341" s="128"/>
      <c r="R341" s="1703"/>
      <c r="S341" s="1687"/>
      <c r="T341" s="1687"/>
      <c r="U341" s="1693"/>
      <c r="V341" s="1715"/>
      <c r="W341" s="1689"/>
      <c r="X341" s="1689"/>
    </row>
    <row r="342" spans="1:26" ht="14.85" customHeight="1" x14ac:dyDescent="0.2">
      <c r="A342" s="1727"/>
      <c r="B342" s="1607"/>
      <c r="C342" s="1721"/>
      <c r="D342" s="1701"/>
      <c r="E342" s="1695"/>
      <c r="F342" s="1618"/>
      <c r="G342" s="101" t="s">
        <v>71</v>
      </c>
      <c r="H342" s="191">
        <v>1.3</v>
      </c>
      <c r="I342" s="215">
        <v>1.3</v>
      </c>
      <c r="J342" s="215"/>
      <c r="K342" s="216"/>
      <c r="L342" s="49">
        <v>1.3</v>
      </c>
      <c r="M342" s="215">
        <v>1.3</v>
      </c>
      <c r="N342" s="215"/>
      <c r="O342" s="23"/>
      <c r="P342" s="127"/>
      <c r="Q342" s="128"/>
      <c r="R342" s="1703"/>
      <c r="S342" s="1687"/>
      <c r="T342" s="1687"/>
      <c r="U342" s="1693"/>
    </row>
    <row r="343" spans="1:26" ht="14.85" customHeight="1" x14ac:dyDescent="0.2">
      <c r="A343" s="1727"/>
      <c r="B343" s="1607"/>
      <c r="C343" s="1721"/>
      <c r="D343" s="1701"/>
      <c r="E343" s="1695"/>
      <c r="F343" s="1618"/>
      <c r="G343" s="13" t="s">
        <v>36</v>
      </c>
      <c r="H343" s="191"/>
      <c r="I343" s="215"/>
      <c r="J343" s="215"/>
      <c r="K343" s="216"/>
      <c r="L343" s="49"/>
      <c r="M343" s="215"/>
      <c r="N343" s="215"/>
      <c r="O343" s="23"/>
      <c r="P343" s="14"/>
      <c r="Q343" s="21"/>
      <c r="R343" s="1703"/>
      <c r="S343" s="1687"/>
      <c r="T343" s="1687"/>
      <c r="U343" s="1693"/>
    </row>
    <row r="344" spans="1:26" ht="14.85" customHeight="1" x14ac:dyDescent="0.2">
      <c r="A344" s="1727"/>
      <c r="B344" s="1607"/>
      <c r="C344" s="1721"/>
      <c r="D344" s="1701"/>
      <c r="E344" s="1695"/>
      <c r="F344" s="1618"/>
      <c r="G344" s="13" t="s">
        <v>72</v>
      </c>
      <c r="H344" s="191"/>
      <c r="I344" s="215"/>
      <c r="J344" s="215"/>
      <c r="K344" s="216"/>
      <c r="L344" s="49"/>
      <c r="M344" s="215"/>
      <c r="N344" s="215"/>
      <c r="O344" s="23"/>
      <c r="P344" s="14"/>
      <c r="Q344" s="21"/>
      <c r="R344" s="1703"/>
      <c r="S344" s="1687"/>
      <c r="T344" s="1687"/>
      <c r="U344" s="1693"/>
    </row>
    <row r="345" spans="1:26" ht="14.85" customHeight="1" x14ac:dyDescent="0.2">
      <c r="A345" s="1727"/>
      <c r="B345" s="1725"/>
      <c r="C345" s="1636"/>
      <c r="D345" s="1701"/>
      <c r="E345" s="1695"/>
      <c r="F345" s="1619"/>
      <c r="G345" s="24" t="s">
        <v>13</v>
      </c>
      <c r="H345" s="28">
        <f>+H338+H339+H340+H343+H344</f>
        <v>10.100000000000001</v>
      </c>
      <c r="I345" s="26">
        <f t="shared" ref="I345:Q345" si="95">+I338+I339+I340+I343+I344</f>
        <v>10.100000000000001</v>
      </c>
      <c r="J345" s="26">
        <f t="shared" si="95"/>
        <v>0</v>
      </c>
      <c r="K345" s="31">
        <f t="shared" si="95"/>
        <v>0</v>
      </c>
      <c r="L345" s="27">
        <f t="shared" si="95"/>
        <v>10.100000000000001</v>
      </c>
      <c r="M345" s="26">
        <f t="shared" si="95"/>
        <v>10.100000000000001</v>
      </c>
      <c r="N345" s="26">
        <f t="shared" si="95"/>
        <v>0</v>
      </c>
      <c r="O345" s="30">
        <f t="shared" si="95"/>
        <v>0</v>
      </c>
      <c r="P345" s="32">
        <f t="shared" si="95"/>
        <v>0</v>
      </c>
      <c r="Q345" s="25">
        <f t="shared" si="95"/>
        <v>0</v>
      </c>
      <c r="R345" s="1703"/>
      <c r="S345" s="26">
        <v>2</v>
      </c>
      <c r="T345" s="26">
        <f>SUM(T338)</f>
        <v>2</v>
      </c>
      <c r="U345" s="31"/>
    </row>
    <row r="346" spans="1:26" ht="14.85" customHeight="1" x14ac:dyDescent="0.2">
      <c r="A346" s="1716" t="s">
        <v>17</v>
      </c>
      <c r="B346" s="1606" t="s">
        <v>19</v>
      </c>
      <c r="C346" s="1609">
        <v>28</v>
      </c>
      <c r="D346" s="1679" t="s">
        <v>156</v>
      </c>
      <c r="E346" s="1615" t="s">
        <v>56</v>
      </c>
      <c r="F346" s="1650">
        <v>1</v>
      </c>
      <c r="G346" s="23" t="s">
        <v>30</v>
      </c>
      <c r="H346" s="191"/>
      <c r="I346" s="215"/>
      <c r="J346" s="215"/>
      <c r="K346" s="216"/>
      <c r="L346" s="49"/>
      <c r="M346" s="215"/>
      <c r="N346" s="215"/>
      <c r="O346" s="23"/>
      <c r="P346" s="14"/>
      <c r="Q346" s="21">
        <v>10</v>
      </c>
      <c r="R346" s="1703" t="s">
        <v>85</v>
      </c>
      <c r="S346" s="1687"/>
      <c r="T346" s="1687"/>
      <c r="U346" s="1693"/>
    </row>
    <row r="347" spans="1:26" ht="14.85" customHeight="1" x14ac:dyDescent="0.2">
      <c r="A347" s="1717"/>
      <c r="B347" s="1607"/>
      <c r="C347" s="1610"/>
      <c r="D347" s="1680"/>
      <c r="E347" s="1616"/>
      <c r="F347" s="1651"/>
      <c r="G347" s="13" t="s">
        <v>73</v>
      </c>
      <c r="H347" s="191"/>
      <c r="I347" s="215"/>
      <c r="J347" s="215"/>
      <c r="K347" s="216"/>
      <c r="L347" s="49"/>
      <c r="M347" s="215"/>
      <c r="N347" s="215"/>
      <c r="O347" s="23"/>
      <c r="P347" s="14"/>
      <c r="Q347" s="21"/>
      <c r="R347" s="1703"/>
      <c r="S347" s="1687"/>
      <c r="T347" s="1687"/>
      <c r="U347" s="1693"/>
      <c r="V347" s="1715"/>
      <c r="W347" s="1715"/>
      <c r="X347" s="1715"/>
      <c r="Y347" s="1715"/>
    </row>
    <row r="348" spans="1:26" ht="14.85" customHeight="1" x14ac:dyDescent="0.2">
      <c r="A348" s="1717"/>
      <c r="B348" s="1607"/>
      <c r="C348" s="1610"/>
      <c r="D348" s="1680"/>
      <c r="E348" s="1616"/>
      <c r="F348" s="1651"/>
      <c r="G348" s="15" t="s">
        <v>59</v>
      </c>
      <c r="H348" s="16">
        <f>+H349+H350</f>
        <v>0</v>
      </c>
      <c r="I348" s="17">
        <f t="shared" ref="I348:Q348" si="96">+I349+I350</f>
        <v>0</v>
      </c>
      <c r="J348" s="17">
        <f t="shared" si="96"/>
        <v>0</v>
      </c>
      <c r="K348" s="19">
        <f t="shared" si="96"/>
        <v>0</v>
      </c>
      <c r="L348" s="50">
        <f t="shared" si="96"/>
        <v>0</v>
      </c>
      <c r="M348" s="17">
        <f t="shared" si="96"/>
        <v>0</v>
      </c>
      <c r="N348" s="17">
        <f t="shared" si="96"/>
        <v>0</v>
      </c>
      <c r="O348" s="18">
        <f t="shared" si="96"/>
        <v>0</v>
      </c>
      <c r="P348" s="20">
        <f t="shared" si="96"/>
        <v>0</v>
      </c>
      <c r="Q348" s="37">
        <f t="shared" si="96"/>
        <v>1.7</v>
      </c>
      <c r="R348" s="1703"/>
      <c r="S348" s="1687"/>
      <c r="T348" s="1687"/>
      <c r="U348" s="1693"/>
    </row>
    <row r="349" spans="1:26" ht="14.85" customHeight="1" x14ac:dyDescent="0.2">
      <c r="A349" s="1717"/>
      <c r="B349" s="1607"/>
      <c r="C349" s="1610"/>
      <c r="D349" s="1680"/>
      <c r="E349" s="1616"/>
      <c r="F349" s="1651"/>
      <c r="G349" s="101" t="s">
        <v>130</v>
      </c>
      <c r="H349" s="123"/>
      <c r="I349" s="124"/>
      <c r="J349" s="124"/>
      <c r="K349" s="125"/>
      <c r="L349" s="126"/>
      <c r="M349" s="124"/>
      <c r="N349" s="124"/>
      <c r="O349" s="122"/>
      <c r="P349" s="127"/>
      <c r="Q349" s="158">
        <v>1.7</v>
      </c>
      <c r="R349" s="1703"/>
      <c r="S349" s="1687"/>
      <c r="T349" s="1687"/>
      <c r="U349" s="1693"/>
    </row>
    <row r="350" spans="1:26" ht="14.85" customHeight="1" x14ac:dyDescent="0.2">
      <c r="A350" s="1717"/>
      <c r="B350" s="1607"/>
      <c r="C350" s="1610"/>
      <c r="D350" s="1680"/>
      <c r="E350" s="1616"/>
      <c r="F350" s="1651"/>
      <c r="G350" s="101" t="s">
        <v>71</v>
      </c>
      <c r="H350" s="123"/>
      <c r="I350" s="124"/>
      <c r="J350" s="124"/>
      <c r="K350" s="125"/>
      <c r="L350" s="126"/>
      <c r="M350" s="124"/>
      <c r="N350" s="124"/>
      <c r="O350" s="122"/>
      <c r="P350" s="127"/>
      <c r="Q350" s="128"/>
      <c r="R350" s="1703"/>
      <c r="S350" s="1687"/>
      <c r="T350" s="1687"/>
      <c r="U350" s="1693"/>
      <c r="V350" s="1715"/>
      <c r="W350" s="1689"/>
      <c r="X350" s="1689"/>
      <c r="Y350" s="1689"/>
      <c r="Z350" s="1689"/>
    </row>
    <row r="351" spans="1:26" ht="14.85" customHeight="1" x14ac:dyDescent="0.2">
      <c r="A351" s="1717"/>
      <c r="B351" s="1607"/>
      <c r="C351" s="1610"/>
      <c r="D351" s="1680"/>
      <c r="E351" s="1616"/>
      <c r="F351" s="1651"/>
      <c r="G351" s="13" t="s">
        <v>36</v>
      </c>
      <c r="H351" s="191"/>
      <c r="I351" s="215"/>
      <c r="J351" s="215"/>
      <c r="K351" s="216"/>
      <c r="L351" s="49"/>
      <c r="M351" s="215"/>
      <c r="N351" s="215"/>
      <c r="O351" s="23"/>
      <c r="P351" s="14"/>
      <c r="Q351" s="21"/>
      <c r="R351" s="1703"/>
      <c r="S351" s="1687"/>
      <c r="T351" s="1687"/>
      <c r="U351" s="1693"/>
    </row>
    <row r="352" spans="1:26" ht="14.85" customHeight="1" x14ac:dyDescent="0.2">
      <c r="A352" s="1717"/>
      <c r="B352" s="1607"/>
      <c r="C352" s="1610"/>
      <c r="D352" s="1680"/>
      <c r="E352" s="1616"/>
      <c r="F352" s="1651"/>
      <c r="G352" s="13" t="s">
        <v>72</v>
      </c>
      <c r="H352" s="191"/>
      <c r="I352" s="215"/>
      <c r="J352" s="215"/>
      <c r="K352" s="216"/>
      <c r="L352" s="49"/>
      <c r="M352" s="215"/>
      <c r="N352" s="215"/>
      <c r="O352" s="23"/>
      <c r="P352" s="14"/>
      <c r="Q352" s="21"/>
      <c r="R352" s="1703"/>
      <c r="S352" s="1687"/>
      <c r="T352" s="1687"/>
      <c r="U352" s="1693"/>
    </row>
    <row r="353" spans="1:26" ht="14.85" customHeight="1" x14ac:dyDescent="0.2">
      <c r="A353" s="1718"/>
      <c r="B353" s="1725"/>
      <c r="C353" s="1721"/>
      <c r="D353" s="1722"/>
      <c r="E353" s="1639"/>
      <c r="F353" s="1618"/>
      <c r="G353" s="24" t="s">
        <v>13</v>
      </c>
      <c r="H353" s="28">
        <f>+H346+H347+H348+H351+H352</f>
        <v>0</v>
      </c>
      <c r="I353" s="26">
        <f t="shared" ref="I353:Q353" si="97">+I346+I347+I348+I351+I352</f>
        <v>0</v>
      </c>
      <c r="J353" s="26">
        <f t="shared" si="97"/>
        <v>0</v>
      </c>
      <c r="K353" s="31">
        <f t="shared" si="97"/>
        <v>0</v>
      </c>
      <c r="L353" s="27">
        <f t="shared" si="97"/>
        <v>0</v>
      </c>
      <c r="M353" s="26">
        <f t="shared" si="97"/>
        <v>0</v>
      </c>
      <c r="N353" s="26">
        <f t="shared" si="97"/>
        <v>0</v>
      </c>
      <c r="O353" s="30">
        <f t="shared" si="97"/>
        <v>0</v>
      </c>
      <c r="P353" s="32">
        <f t="shared" si="97"/>
        <v>0</v>
      </c>
      <c r="Q353" s="25">
        <f t="shared" si="97"/>
        <v>11.7</v>
      </c>
      <c r="R353" s="1703"/>
      <c r="S353" s="26"/>
      <c r="T353" s="26">
        <f>SUM(T346)</f>
        <v>0</v>
      </c>
      <c r="U353" s="31">
        <f>SUM(U346)</f>
        <v>0</v>
      </c>
    </row>
    <row r="354" spans="1:26" s="52" customFormat="1" ht="14.85" customHeight="1" x14ac:dyDescent="0.2">
      <c r="A354" s="1634" t="s">
        <v>17</v>
      </c>
      <c r="B354" s="1606" t="s">
        <v>19</v>
      </c>
      <c r="C354" s="1609">
        <v>29</v>
      </c>
      <c r="D354" s="1701" t="s">
        <v>158</v>
      </c>
      <c r="E354" s="1695" t="s">
        <v>56</v>
      </c>
      <c r="F354" s="1618">
        <v>1</v>
      </c>
      <c r="G354" s="23" t="s">
        <v>30</v>
      </c>
      <c r="H354" s="191"/>
      <c r="I354" s="215"/>
      <c r="J354" s="215"/>
      <c r="K354" s="216"/>
      <c r="L354" s="49"/>
      <c r="M354" s="215"/>
      <c r="N354" s="215"/>
      <c r="O354" s="23"/>
      <c r="P354" s="14">
        <v>68</v>
      </c>
      <c r="Q354" s="21">
        <v>10.4</v>
      </c>
      <c r="R354" s="1641" t="s">
        <v>117</v>
      </c>
      <c r="S354" s="1687"/>
      <c r="T354" s="1687"/>
      <c r="U354" s="1700" t="s">
        <v>205</v>
      </c>
      <c r="V354" s="51"/>
      <c r="W354" s="51"/>
    </row>
    <row r="355" spans="1:26" s="52" customFormat="1" ht="14.85" customHeight="1" x14ac:dyDescent="0.2">
      <c r="A355" s="1634"/>
      <c r="B355" s="1607"/>
      <c r="C355" s="1610"/>
      <c r="D355" s="1701"/>
      <c r="E355" s="1695"/>
      <c r="F355" s="1618"/>
      <c r="G355" s="13" t="s">
        <v>73</v>
      </c>
      <c r="H355" s="191"/>
      <c r="I355" s="215"/>
      <c r="J355" s="215"/>
      <c r="K355" s="216"/>
      <c r="L355" s="49"/>
      <c r="M355" s="215"/>
      <c r="N355" s="215"/>
      <c r="O355" s="23"/>
      <c r="P355" s="14">
        <v>6</v>
      </c>
      <c r="Q355" s="21">
        <v>0.92</v>
      </c>
      <c r="R355" s="1641"/>
      <c r="S355" s="1687"/>
      <c r="T355" s="1687"/>
      <c r="U355" s="1700"/>
      <c r="V355" s="51"/>
      <c r="W355" s="51"/>
    </row>
    <row r="356" spans="1:26" s="52" customFormat="1" ht="14.85" customHeight="1" x14ac:dyDescent="0.2">
      <c r="A356" s="1634"/>
      <c r="B356" s="1607"/>
      <c r="C356" s="1610"/>
      <c r="D356" s="1701"/>
      <c r="E356" s="1695"/>
      <c r="F356" s="1618"/>
      <c r="G356" s="15" t="s">
        <v>59</v>
      </c>
      <c r="H356" s="16"/>
      <c r="I356" s="17"/>
      <c r="J356" s="17"/>
      <c r="K356" s="19"/>
      <c r="L356" s="50">
        <f>+L357+L358</f>
        <v>0</v>
      </c>
      <c r="M356" s="17">
        <f t="shared" ref="M356:Q356" si="98">+M357+M358</f>
        <v>0</v>
      </c>
      <c r="N356" s="17">
        <f t="shared" si="98"/>
        <v>0</v>
      </c>
      <c r="O356" s="18">
        <f t="shared" si="98"/>
        <v>0</v>
      </c>
      <c r="P356" s="20">
        <f t="shared" si="98"/>
        <v>6</v>
      </c>
      <c r="Q356" s="37">
        <f t="shared" si="98"/>
        <v>0.92</v>
      </c>
      <c r="R356" s="1641"/>
      <c r="S356" s="1687"/>
      <c r="T356" s="1687"/>
      <c r="U356" s="1700"/>
      <c r="V356" s="51"/>
      <c r="W356" s="51"/>
    </row>
    <row r="357" spans="1:26" s="52" customFormat="1" ht="14.85" customHeight="1" x14ac:dyDescent="0.2">
      <c r="A357" s="1634"/>
      <c r="B357" s="1607"/>
      <c r="C357" s="1610"/>
      <c r="D357" s="1701"/>
      <c r="E357" s="1695"/>
      <c r="F357" s="1618"/>
      <c r="G357" s="101" t="s">
        <v>130</v>
      </c>
      <c r="H357" s="123"/>
      <c r="I357" s="124"/>
      <c r="J357" s="124"/>
      <c r="K357" s="125"/>
      <c r="L357" s="155"/>
      <c r="M357" s="142"/>
      <c r="N357" s="142"/>
      <c r="O357" s="156"/>
      <c r="P357" s="157">
        <v>6</v>
      </c>
      <c r="Q357" s="158">
        <v>0.92</v>
      </c>
      <c r="R357" s="1641"/>
      <c r="S357" s="1687"/>
      <c r="T357" s="1687"/>
      <c r="U357" s="1700"/>
      <c r="V357" s="1723"/>
      <c r="W357" s="1724"/>
      <c r="X357" s="1724"/>
      <c r="Y357" s="1724"/>
      <c r="Z357" s="1724"/>
    </row>
    <row r="358" spans="1:26" s="52" customFormat="1" ht="14.85" customHeight="1" x14ac:dyDescent="0.2">
      <c r="A358" s="1634"/>
      <c r="B358" s="1607"/>
      <c r="C358" s="1610"/>
      <c r="D358" s="1701"/>
      <c r="E358" s="1695"/>
      <c r="F358" s="1618"/>
      <c r="G358" s="101" t="s">
        <v>71</v>
      </c>
      <c r="H358" s="123"/>
      <c r="I358" s="124"/>
      <c r="J358" s="124"/>
      <c r="K358" s="125"/>
      <c r="L358" s="155"/>
      <c r="M358" s="142"/>
      <c r="N358" s="142"/>
      <c r="O358" s="156"/>
      <c r="P358" s="157"/>
      <c r="Q358" s="158"/>
      <c r="R358" s="1641"/>
      <c r="S358" s="1687"/>
      <c r="T358" s="1687"/>
      <c r="U358" s="1700"/>
      <c r="V358" s="51"/>
      <c r="W358" s="51"/>
    </row>
    <row r="359" spans="1:26" s="52" customFormat="1" ht="14.85" customHeight="1" x14ac:dyDescent="0.2">
      <c r="A359" s="1634"/>
      <c r="B359" s="1607"/>
      <c r="C359" s="1610"/>
      <c r="D359" s="1701"/>
      <c r="E359" s="1695"/>
      <c r="F359" s="1618"/>
      <c r="G359" s="13" t="s">
        <v>36</v>
      </c>
      <c r="H359" s="191"/>
      <c r="I359" s="215"/>
      <c r="J359" s="215"/>
      <c r="K359" s="216"/>
      <c r="L359" s="49"/>
      <c r="M359" s="215"/>
      <c r="N359" s="215"/>
      <c r="O359" s="23"/>
      <c r="P359" s="14"/>
      <c r="Q359" s="21"/>
      <c r="R359" s="1641"/>
      <c r="S359" s="1687"/>
      <c r="T359" s="1687"/>
      <c r="U359" s="1700"/>
      <c r="V359" s="51"/>
      <c r="W359" s="51"/>
    </row>
    <row r="360" spans="1:26" s="52" customFormat="1" ht="14.85" customHeight="1" x14ac:dyDescent="0.2">
      <c r="A360" s="1634"/>
      <c r="B360" s="1607"/>
      <c r="C360" s="1610"/>
      <c r="D360" s="1701"/>
      <c r="E360" s="1695"/>
      <c r="F360" s="1618"/>
      <c r="G360" s="13" t="s">
        <v>72</v>
      </c>
      <c r="H360" s="191"/>
      <c r="I360" s="215"/>
      <c r="J360" s="215"/>
      <c r="K360" s="216"/>
      <c r="L360" s="49"/>
      <c r="M360" s="215"/>
      <c r="N360" s="215"/>
      <c r="O360" s="23"/>
      <c r="P360" s="14"/>
      <c r="Q360" s="21"/>
      <c r="R360" s="1641"/>
      <c r="S360" s="1687"/>
      <c r="T360" s="1687"/>
      <c r="U360" s="1700"/>
      <c r="V360" s="51"/>
      <c r="W360" s="51"/>
    </row>
    <row r="361" spans="1:26" s="52" customFormat="1" ht="14.85" customHeight="1" x14ac:dyDescent="0.2">
      <c r="A361" s="1603"/>
      <c r="B361" s="1607"/>
      <c r="C361" s="1721"/>
      <c r="D361" s="1679"/>
      <c r="E361" s="1615"/>
      <c r="F361" s="1619"/>
      <c r="G361" s="24" t="s">
        <v>13</v>
      </c>
      <c r="H361" s="28">
        <f>+H354+H355+H356+H359+H360</f>
        <v>0</v>
      </c>
      <c r="I361" s="26">
        <f t="shared" ref="I361:Q361" si="99">+I354+I355+I356+I359+I360</f>
        <v>0</v>
      </c>
      <c r="J361" s="26">
        <f t="shared" si="99"/>
        <v>0</v>
      </c>
      <c r="K361" s="31">
        <f t="shared" si="99"/>
        <v>0</v>
      </c>
      <c r="L361" s="27">
        <f t="shared" si="99"/>
        <v>0</v>
      </c>
      <c r="M361" s="26">
        <f t="shared" si="99"/>
        <v>0</v>
      </c>
      <c r="N361" s="26">
        <f t="shared" si="99"/>
        <v>0</v>
      </c>
      <c r="O361" s="30">
        <f t="shared" si="99"/>
        <v>0</v>
      </c>
      <c r="P361" s="32">
        <f t="shared" si="99"/>
        <v>80</v>
      </c>
      <c r="Q361" s="25">
        <f t="shared" si="99"/>
        <v>12.24</v>
      </c>
      <c r="R361" s="1641"/>
      <c r="S361" s="26"/>
      <c r="T361" s="26"/>
      <c r="U361" s="31"/>
      <c r="V361" s="51"/>
      <c r="W361" s="51"/>
    </row>
    <row r="362" spans="1:26" s="52" customFormat="1" ht="14.85" customHeight="1" x14ac:dyDescent="0.2">
      <c r="A362" s="1634" t="s">
        <v>17</v>
      </c>
      <c r="B362" s="1606" t="s">
        <v>19</v>
      </c>
      <c r="C362" s="1609">
        <v>30</v>
      </c>
      <c r="D362" s="1701" t="s">
        <v>159</v>
      </c>
      <c r="E362" s="1695" t="s">
        <v>56</v>
      </c>
      <c r="F362" s="1619">
        <v>1</v>
      </c>
      <c r="G362" s="23" t="s">
        <v>30</v>
      </c>
      <c r="H362" s="191"/>
      <c r="I362" s="215"/>
      <c r="J362" s="215"/>
      <c r="K362" s="216"/>
      <c r="L362" s="49"/>
      <c r="M362" s="215"/>
      <c r="N362" s="215"/>
      <c r="O362" s="23"/>
      <c r="P362" s="14">
        <v>104</v>
      </c>
      <c r="Q362" s="21">
        <v>416</v>
      </c>
      <c r="R362" s="1641" t="s">
        <v>117</v>
      </c>
      <c r="S362" s="1687"/>
      <c r="T362" s="1687"/>
      <c r="U362" s="1693"/>
      <c r="V362" s="51"/>
      <c r="W362" s="51"/>
    </row>
    <row r="363" spans="1:26" s="52" customFormat="1" ht="14.85" customHeight="1" x14ac:dyDescent="0.2">
      <c r="A363" s="1634"/>
      <c r="B363" s="1607"/>
      <c r="C363" s="1610"/>
      <c r="D363" s="1701"/>
      <c r="E363" s="1695"/>
      <c r="F363" s="1618"/>
      <c r="G363" s="13" t="s">
        <v>73</v>
      </c>
      <c r="H363" s="191"/>
      <c r="I363" s="215"/>
      <c r="J363" s="215"/>
      <c r="K363" s="216"/>
      <c r="L363" s="49"/>
      <c r="M363" s="215"/>
      <c r="N363" s="215"/>
      <c r="O363" s="23"/>
      <c r="P363" s="14">
        <v>9.1999999999999993</v>
      </c>
      <c r="Q363" s="21">
        <v>36.700000000000003</v>
      </c>
      <c r="R363" s="1641"/>
      <c r="S363" s="1687"/>
      <c r="T363" s="1687"/>
      <c r="U363" s="1693"/>
      <c r="V363" s="51"/>
      <c r="W363" s="51"/>
    </row>
    <row r="364" spans="1:26" s="52" customFormat="1" ht="14.85" customHeight="1" x14ac:dyDescent="0.2">
      <c r="A364" s="1634"/>
      <c r="B364" s="1607"/>
      <c r="C364" s="1610"/>
      <c r="D364" s="1701"/>
      <c r="E364" s="1695"/>
      <c r="F364" s="1618"/>
      <c r="G364" s="15" t="s">
        <v>59</v>
      </c>
      <c r="H364" s="16"/>
      <c r="I364" s="17"/>
      <c r="J364" s="17"/>
      <c r="K364" s="19"/>
      <c r="L364" s="50">
        <f>+L365+L366</f>
        <v>0</v>
      </c>
      <c r="M364" s="17">
        <f t="shared" ref="M364:Q364" si="100">+M365+M366</f>
        <v>0</v>
      </c>
      <c r="N364" s="17">
        <f t="shared" si="100"/>
        <v>0</v>
      </c>
      <c r="O364" s="18">
        <f t="shared" si="100"/>
        <v>0</v>
      </c>
      <c r="P364" s="20">
        <f t="shared" si="100"/>
        <v>9.1999999999999993</v>
      </c>
      <c r="Q364" s="37">
        <f t="shared" si="100"/>
        <v>36.700000000000003</v>
      </c>
      <c r="R364" s="1641"/>
      <c r="S364" s="1687"/>
      <c r="T364" s="1687"/>
      <c r="U364" s="1693"/>
      <c r="V364" s="51"/>
      <c r="W364" s="51"/>
    </row>
    <row r="365" spans="1:26" s="52" customFormat="1" ht="14.85" customHeight="1" x14ac:dyDescent="0.2">
      <c r="A365" s="1634"/>
      <c r="B365" s="1607"/>
      <c r="C365" s="1610"/>
      <c r="D365" s="1701"/>
      <c r="E365" s="1695"/>
      <c r="F365" s="1618"/>
      <c r="G365" s="101" t="s">
        <v>130</v>
      </c>
      <c r="H365" s="123"/>
      <c r="I365" s="124"/>
      <c r="J365" s="124"/>
      <c r="K365" s="125"/>
      <c r="L365" s="126"/>
      <c r="M365" s="124"/>
      <c r="N365" s="124"/>
      <c r="O365" s="122"/>
      <c r="P365" s="162">
        <v>9.1999999999999993</v>
      </c>
      <c r="Q365" s="163">
        <v>36.700000000000003</v>
      </c>
      <c r="R365" s="1641"/>
      <c r="S365" s="1687"/>
      <c r="T365" s="1687"/>
      <c r="U365" s="1693"/>
      <c r="V365" s="51"/>
      <c r="W365" s="51"/>
    </row>
    <row r="366" spans="1:26" s="52" customFormat="1" ht="14.85" customHeight="1" x14ac:dyDescent="0.2">
      <c r="A366" s="1634"/>
      <c r="B366" s="1607"/>
      <c r="C366" s="1610"/>
      <c r="D366" s="1701"/>
      <c r="E366" s="1695"/>
      <c r="F366" s="1618"/>
      <c r="G366" s="101" t="s">
        <v>71</v>
      </c>
      <c r="H366" s="123"/>
      <c r="I366" s="124"/>
      <c r="J366" s="124"/>
      <c r="K366" s="125"/>
      <c r="L366" s="126"/>
      <c r="M366" s="124"/>
      <c r="N366" s="124"/>
      <c r="O366" s="122"/>
      <c r="P366" s="127"/>
      <c r="Q366" s="128"/>
      <c r="R366" s="1641"/>
      <c r="S366" s="1687"/>
      <c r="T366" s="1687"/>
      <c r="U366" s="1693"/>
      <c r="V366" s="1723"/>
      <c r="W366" s="1724"/>
      <c r="X366" s="1724"/>
      <c r="Y366" s="1724"/>
      <c r="Z366" s="1724"/>
    </row>
    <row r="367" spans="1:26" s="52" customFormat="1" ht="14.85" customHeight="1" x14ac:dyDescent="0.2">
      <c r="A367" s="1634"/>
      <c r="B367" s="1607"/>
      <c r="C367" s="1610"/>
      <c r="D367" s="1701"/>
      <c r="E367" s="1695"/>
      <c r="F367" s="1618"/>
      <c r="G367" s="13" t="s">
        <v>36</v>
      </c>
      <c r="H367" s="191"/>
      <c r="I367" s="215"/>
      <c r="J367" s="215"/>
      <c r="K367" s="216"/>
      <c r="L367" s="49"/>
      <c r="M367" s="215"/>
      <c r="N367" s="215"/>
      <c r="O367" s="23"/>
      <c r="P367" s="14"/>
      <c r="Q367" s="21"/>
      <c r="R367" s="1641"/>
      <c r="S367" s="1687"/>
      <c r="T367" s="1687"/>
      <c r="U367" s="1693"/>
      <c r="V367" s="51"/>
      <c r="W367" s="51"/>
    </row>
    <row r="368" spans="1:26" s="52" customFormat="1" ht="14.85" customHeight="1" x14ac:dyDescent="0.2">
      <c r="A368" s="1634"/>
      <c r="B368" s="1607"/>
      <c r="C368" s="1610"/>
      <c r="D368" s="1701"/>
      <c r="E368" s="1695"/>
      <c r="F368" s="1618"/>
      <c r="G368" s="13" t="s">
        <v>72</v>
      </c>
      <c r="H368" s="191"/>
      <c r="I368" s="215"/>
      <c r="J368" s="215"/>
      <c r="K368" s="216"/>
      <c r="L368" s="49"/>
      <c r="M368" s="215"/>
      <c r="N368" s="215"/>
      <c r="O368" s="23"/>
      <c r="P368" s="14"/>
      <c r="Q368" s="21"/>
      <c r="R368" s="1641"/>
      <c r="S368" s="1687"/>
      <c r="T368" s="1687"/>
      <c r="U368" s="1693"/>
      <c r="V368" s="51"/>
      <c r="W368" s="51"/>
    </row>
    <row r="369" spans="1:27" s="52" customFormat="1" ht="14.85" customHeight="1" x14ac:dyDescent="0.2">
      <c r="A369" s="1634"/>
      <c r="B369" s="1725"/>
      <c r="C369" s="1721"/>
      <c r="D369" s="1701"/>
      <c r="E369" s="1695"/>
      <c r="F369" s="1619"/>
      <c r="G369" s="24" t="s">
        <v>13</v>
      </c>
      <c r="H369" s="28">
        <f>+H362+H363+H364+H367+H368</f>
        <v>0</v>
      </c>
      <c r="I369" s="26">
        <f t="shared" ref="I369:Q369" si="101">+I362+I363+I364+I367+I368</f>
        <v>0</v>
      </c>
      <c r="J369" s="26">
        <f t="shared" si="101"/>
        <v>0</v>
      </c>
      <c r="K369" s="31">
        <f t="shared" si="101"/>
        <v>0</v>
      </c>
      <c r="L369" s="27">
        <f t="shared" si="101"/>
        <v>0</v>
      </c>
      <c r="M369" s="26">
        <f t="shared" si="101"/>
        <v>0</v>
      </c>
      <c r="N369" s="26">
        <f t="shared" si="101"/>
        <v>0</v>
      </c>
      <c r="O369" s="30">
        <f t="shared" si="101"/>
        <v>0</v>
      </c>
      <c r="P369" s="32">
        <f t="shared" si="101"/>
        <v>122.4</v>
      </c>
      <c r="Q369" s="25">
        <f t="shared" si="101"/>
        <v>489.4</v>
      </c>
      <c r="R369" s="1641"/>
      <c r="S369" s="26"/>
      <c r="T369" s="26"/>
      <c r="U369" s="31"/>
      <c r="V369" s="51"/>
      <c r="W369" s="51"/>
    </row>
    <row r="370" spans="1:27" ht="14.85" customHeight="1" x14ac:dyDescent="0.2">
      <c r="A370" s="1716" t="s">
        <v>17</v>
      </c>
      <c r="B370" s="1719">
        <v>3</v>
      </c>
      <c r="C370" s="1609">
        <v>31</v>
      </c>
      <c r="D370" s="1679" t="s">
        <v>169</v>
      </c>
      <c r="E370" s="1615" t="s">
        <v>152</v>
      </c>
      <c r="F370" s="1650">
        <v>1</v>
      </c>
      <c r="G370" s="23" t="s">
        <v>30</v>
      </c>
      <c r="H370" s="191"/>
      <c r="I370" s="215"/>
      <c r="J370" s="215"/>
      <c r="K370" s="216"/>
      <c r="L370" s="49"/>
      <c r="M370" s="215"/>
      <c r="N370" s="215"/>
      <c r="O370" s="23"/>
      <c r="P370" s="14"/>
      <c r="Q370" s="21"/>
      <c r="R370" s="1703" t="s">
        <v>168</v>
      </c>
      <c r="S370" s="1687"/>
      <c r="T370" s="1687"/>
      <c r="U370" s="1700" t="s">
        <v>201</v>
      </c>
    </row>
    <row r="371" spans="1:27" ht="14.85" customHeight="1" x14ac:dyDescent="0.2">
      <c r="A371" s="1717"/>
      <c r="B371" s="1720"/>
      <c r="C371" s="1610"/>
      <c r="D371" s="1680"/>
      <c r="E371" s="1616"/>
      <c r="F371" s="1651"/>
      <c r="G371" s="13" t="s">
        <v>73</v>
      </c>
      <c r="H371" s="191"/>
      <c r="I371" s="215"/>
      <c r="J371" s="215"/>
      <c r="K371" s="216"/>
      <c r="L371" s="49"/>
      <c r="M371" s="215"/>
      <c r="N371" s="215"/>
      <c r="O371" s="23"/>
      <c r="P371" s="14"/>
      <c r="Q371" s="21"/>
      <c r="R371" s="1703"/>
      <c r="S371" s="1687"/>
      <c r="T371" s="1687"/>
      <c r="U371" s="1700"/>
      <c r="V371" s="1715"/>
      <c r="W371" s="1715"/>
      <c r="X371" s="1715"/>
      <c r="Y371" s="1715"/>
    </row>
    <row r="372" spans="1:27" ht="14.85" customHeight="1" x14ac:dyDescent="0.2">
      <c r="A372" s="1717"/>
      <c r="B372" s="1720"/>
      <c r="C372" s="1610"/>
      <c r="D372" s="1680"/>
      <c r="E372" s="1616"/>
      <c r="F372" s="1651"/>
      <c r="G372" s="15" t="s">
        <v>59</v>
      </c>
      <c r="H372" s="16"/>
      <c r="I372" s="17"/>
      <c r="J372" s="17"/>
      <c r="K372" s="19"/>
      <c r="L372" s="50"/>
      <c r="M372" s="17"/>
      <c r="N372" s="17"/>
      <c r="O372" s="18"/>
      <c r="P372" s="20">
        <f>+P373+P374</f>
        <v>0</v>
      </c>
      <c r="Q372" s="37">
        <f>+Q373+Q374</f>
        <v>0</v>
      </c>
      <c r="R372" s="1703"/>
      <c r="S372" s="1687"/>
      <c r="T372" s="1687"/>
      <c r="U372" s="1700"/>
      <c r="V372" s="1715"/>
      <c r="W372" s="1689"/>
      <c r="X372" s="1689"/>
      <c r="Y372" s="1689"/>
    </row>
    <row r="373" spans="1:27" ht="14.85" customHeight="1" x14ac:dyDescent="0.2">
      <c r="A373" s="1717"/>
      <c r="B373" s="1720"/>
      <c r="C373" s="1610"/>
      <c r="D373" s="1680"/>
      <c r="E373" s="1616"/>
      <c r="F373" s="1651"/>
      <c r="G373" s="101" t="s">
        <v>130</v>
      </c>
      <c r="H373" s="123"/>
      <c r="I373" s="124"/>
      <c r="J373" s="124"/>
      <c r="K373" s="125"/>
      <c r="L373" s="159"/>
      <c r="M373" s="160"/>
      <c r="N373" s="160"/>
      <c r="O373" s="161"/>
      <c r="P373" s="127"/>
      <c r="Q373" s="128"/>
      <c r="R373" s="1703"/>
      <c r="S373" s="1687"/>
      <c r="T373" s="1687"/>
      <c r="U373" s="1700"/>
    </row>
    <row r="374" spans="1:27" ht="14.85" customHeight="1" x14ac:dyDescent="0.2">
      <c r="A374" s="1717"/>
      <c r="B374" s="1720"/>
      <c r="C374" s="1610"/>
      <c r="D374" s="1680"/>
      <c r="E374" s="1616"/>
      <c r="F374" s="1651"/>
      <c r="G374" s="101" t="s">
        <v>71</v>
      </c>
      <c r="H374" s="123"/>
      <c r="I374" s="124"/>
      <c r="J374" s="124"/>
      <c r="K374" s="125"/>
      <c r="L374" s="126"/>
      <c r="M374" s="124"/>
      <c r="N374" s="124"/>
      <c r="O374" s="122"/>
      <c r="P374" s="127"/>
      <c r="Q374" s="128"/>
      <c r="R374" s="1703"/>
      <c r="S374" s="1687"/>
      <c r="T374" s="1687"/>
      <c r="U374" s="1700"/>
      <c r="V374" s="1723"/>
      <c r="W374" s="1724"/>
      <c r="X374" s="1724"/>
      <c r="Y374" s="1724"/>
      <c r="Z374" s="1724"/>
    </row>
    <row r="375" spans="1:27" ht="14.85" customHeight="1" x14ac:dyDescent="0.2">
      <c r="A375" s="1717"/>
      <c r="B375" s="1720"/>
      <c r="C375" s="1610"/>
      <c r="D375" s="1680"/>
      <c r="E375" s="1616"/>
      <c r="F375" s="1651"/>
      <c r="G375" s="13" t="s">
        <v>36</v>
      </c>
      <c r="H375" s="191"/>
      <c r="I375" s="215"/>
      <c r="J375" s="215"/>
      <c r="K375" s="216"/>
      <c r="L375" s="49"/>
      <c r="M375" s="215"/>
      <c r="N375" s="215"/>
      <c r="O375" s="23"/>
      <c r="P375" s="14"/>
      <c r="Q375" s="21"/>
      <c r="R375" s="1703"/>
      <c r="S375" s="1687"/>
      <c r="T375" s="1687"/>
      <c r="U375" s="1700"/>
    </row>
    <row r="376" spans="1:27" ht="14.85" customHeight="1" x14ac:dyDescent="0.2">
      <c r="A376" s="1717"/>
      <c r="B376" s="1720"/>
      <c r="C376" s="1610"/>
      <c r="D376" s="1680"/>
      <c r="E376" s="1616"/>
      <c r="F376" s="1651"/>
      <c r="G376" s="13" t="s">
        <v>72</v>
      </c>
      <c r="H376" s="191"/>
      <c r="I376" s="215"/>
      <c r="J376" s="215"/>
      <c r="K376" s="216"/>
      <c r="L376" s="49"/>
      <c r="M376" s="215"/>
      <c r="N376" s="215"/>
      <c r="O376" s="23"/>
      <c r="P376" s="14"/>
      <c r="Q376" s="21"/>
      <c r="R376" s="1703"/>
      <c r="S376" s="1687"/>
      <c r="T376" s="1687"/>
      <c r="U376" s="1700"/>
    </row>
    <row r="377" spans="1:27" ht="14.85" customHeight="1" x14ac:dyDescent="0.2">
      <c r="A377" s="1718"/>
      <c r="B377" s="1720"/>
      <c r="C377" s="1721"/>
      <c r="D377" s="1722"/>
      <c r="E377" s="1639"/>
      <c r="F377" s="1618"/>
      <c r="G377" s="24" t="s">
        <v>13</v>
      </c>
      <c r="H377" s="28">
        <f>+H370+H371+H372+H375+H376</f>
        <v>0</v>
      </c>
      <c r="I377" s="26">
        <f t="shared" ref="I377:Q377" si="102">+I370+I371+I372+I375+I376</f>
        <v>0</v>
      </c>
      <c r="J377" s="26">
        <f t="shared" si="102"/>
        <v>0</v>
      </c>
      <c r="K377" s="31">
        <f t="shared" si="102"/>
        <v>0</v>
      </c>
      <c r="L377" s="27">
        <f t="shared" si="102"/>
        <v>0</v>
      </c>
      <c r="M377" s="26">
        <f t="shared" si="102"/>
        <v>0</v>
      </c>
      <c r="N377" s="26">
        <f t="shared" si="102"/>
        <v>0</v>
      </c>
      <c r="O377" s="30">
        <f t="shared" si="102"/>
        <v>0</v>
      </c>
      <c r="P377" s="32">
        <f t="shared" si="102"/>
        <v>0</v>
      </c>
      <c r="Q377" s="25">
        <f t="shared" si="102"/>
        <v>0</v>
      </c>
      <c r="R377" s="1703"/>
      <c r="S377" s="26"/>
      <c r="T377" s="26"/>
      <c r="U377" s="31"/>
    </row>
    <row r="378" spans="1:27" ht="14.85" customHeight="1" x14ac:dyDescent="0.2">
      <c r="A378" s="1716" t="s">
        <v>17</v>
      </c>
      <c r="B378" s="1719">
        <v>3</v>
      </c>
      <c r="C378" s="1609">
        <v>32</v>
      </c>
      <c r="D378" s="1679" t="s">
        <v>170</v>
      </c>
      <c r="E378" s="1615" t="s">
        <v>152</v>
      </c>
      <c r="F378" s="1650">
        <v>1</v>
      </c>
      <c r="G378" s="23" t="s">
        <v>30</v>
      </c>
      <c r="H378" s="191"/>
      <c r="I378" s="215"/>
      <c r="J378" s="215"/>
      <c r="K378" s="216"/>
      <c r="L378" s="49"/>
      <c r="M378" s="215"/>
      <c r="N378" s="215"/>
      <c r="O378" s="23"/>
      <c r="P378" s="14"/>
      <c r="Q378" s="21"/>
      <c r="R378" s="1703" t="s">
        <v>168</v>
      </c>
      <c r="S378" s="1687"/>
      <c r="T378" s="1687"/>
      <c r="U378" s="1700" t="s">
        <v>201</v>
      </c>
    </row>
    <row r="379" spans="1:27" ht="14.85" customHeight="1" x14ac:dyDescent="0.2">
      <c r="A379" s="1717"/>
      <c r="B379" s="1720"/>
      <c r="C379" s="1610"/>
      <c r="D379" s="1680"/>
      <c r="E379" s="1616"/>
      <c r="F379" s="1651"/>
      <c r="G379" s="13" t="s">
        <v>73</v>
      </c>
      <c r="H379" s="191"/>
      <c r="I379" s="215"/>
      <c r="J379" s="215"/>
      <c r="K379" s="216"/>
      <c r="L379" s="49"/>
      <c r="M379" s="215"/>
      <c r="N379" s="215"/>
      <c r="O379" s="23"/>
      <c r="P379" s="14"/>
      <c r="Q379" s="21"/>
      <c r="R379" s="1703"/>
      <c r="S379" s="1687"/>
      <c r="T379" s="1687"/>
      <c r="U379" s="1700"/>
      <c r="V379" s="1715"/>
      <c r="W379" s="1715"/>
      <c r="X379" s="1715"/>
      <c r="Y379" s="1715"/>
    </row>
    <row r="380" spans="1:27" ht="14.85" customHeight="1" x14ac:dyDescent="0.2">
      <c r="A380" s="1717"/>
      <c r="B380" s="1720"/>
      <c r="C380" s="1610"/>
      <c r="D380" s="1680"/>
      <c r="E380" s="1616"/>
      <c r="F380" s="1651"/>
      <c r="G380" s="15" t="s">
        <v>59</v>
      </c>
      <c r="H380" s="16"/>
      <c r="I380" s="17"/>
      <c r="J380" s="17"/>
      <c r="K380" s="19"/>
      <c r="L380" s="50"/>
      <c r="M380" s="17"/>
      <c r="N380" s="17"/>
      <c r="O380" s="18"/>
      <c r="P380" s="20">
        <f>+P381+P382</f>
        <v>0</v>
      </c>
      <c r="Q380" s="37">
        <f>+Q381+Q382</f>
        <v>0</v>
      </c>
      <c r="R380" s="1703"/>
      <c r="S380" s="1687"/>
      <c r="T380" s="1687"/>
      <c r="U380" s="1700"/>
      <c r="V380" s="1715"/>
      <c r="W380" s="1689"/>
      <c r="X380" s="1689"/>
      <c r="Y380" s="1689"/>
    </row>
    <row r="381" spans="1:27" ht="14.85" customHeight="1" x14ac:dyDescent="0.2">
      <c r="A381" s="1717"/>
      <c r="B381" s="1720"/>
      <c r="C381" s="1610"/>
      <c r="D381" s="1680"/>
      <c r="E381" s="1616"/>
      <c r="F381" s="1651"/>
      <c r="G381" s="101" t="s">
        <v>130</v>
      </c>
      <c r="H381" s="123"/>
      <c r="I381" s="124"/>
      <c r="J381" s="124"/>
      <c r="K381" s="125"/>
      <c r="L381" s="159"/>
      <c r="M381" s="160"/>
      <c r="N381" s="160"/>
      <c r="O381" s="161"/>
      <c r="P381" s="127"/>
      <c r="Q381" s="128"/>
      <c r="R381" s="1703"/>
      <c r="S381" s="1687"/>
      <c r="T381" s="1687"/>
      <c r="U381" s="1700"/>
    </row>
    <row r="382" spans="1:27" ht="14.85" customHeight="1" x14ac:dyDescent="0.2">
      <c r="A382" s="1717"/>
      <c r="B382" s="1720"/>
      <c r="C382" s="1610"/>
      <c r="D382" s="1680"/>
      <c r="E382" s="1616"/>
      <c r="F382" s="1651"/>
      <c r="G382" s="101" t="s">
        <v>71</v>
      </c>
      <c r="H382" s="123"/>
      <c r="I382" s="124"/>
      <c r="J382" s="124"/>
      <c r="K382" s="125"/>
      <c r="L382" s="159"/>
      <c r="M382" s="160"/>
      <c r="N382" s="160"/>
      <c r="O382" s="161"/>
      <c r="P382" s="127"/>
      <c r="Q382" s="128"/>
      <c r="R382" s="1703"/>
      <c r="S382" s="1687"/>
      <c r="T382" s="1687"/>
      <c r="U382" s="1700"/>
      <c r="V382" s="1649"/>
      <c r="W382" s="1697"/>
      <c r="X382" s="1697"/>
      <c r="Y382" s="1697"/>
      <c r="Z382" s="1697"/>
      <c r="AA382" s="1697"/>
    </row>
    <row r="383" spans="1:27" ht="14.85" customHeight="1" x14ac:dyDescent="0.2">
      <c r="A383" s="1717"/>
      <c r="B383" s="1720"/>
      <c r="C383" s="1610"/>
      <c r="D383" s="1680"/>
      <c r="E383" s="1616"/>
      <c r="F383" s="1651"/>
      <c r="G383" s="13" t="s">
        <v>36</v>
      </c>
      <c r="H383" s="191"/>
      <c r="I383" s="215"/>
      <c r="J383" s="215"/>
      <c r="K383" s="216"/>
      <c r="L383" s="49"/>
      <c r="M383" s="215"/>
      <c r="N383" s="215"/>
      <c r="O383" s="23"/>
      <c r="P383" s="14"/>
      <c r="Q383" s="21"/>
      <c r="R383" s="1703"/>
      <c r="S383" s="1687"/>
      <c r="T383" s="1687"/>
      <c r="U383" s="1700"/>
    </row>
    <row r="384" spans="1:27" ht="14.85" customHeight="1" x14ac:dyDescent="0.2">
      <c r="A384" s="1717"/>
      <c r="B384" s="1720"/>
      <c r="C384" s="1610"/>
      <c r="D384" s="1680"/>
      <c r="E384" s="1616"/>
      <c r="F384" s="1651"/>
      <c r="G384" s="13" t="s">
        <v>72</v>
      </c>
      <c r="H384" s="191"/>
      <c r="I384" s="215"/>
      <c r="J384" s="215"/>
      <c r="K384" s="216"/>
      <c r="L384" s="49"/>
      <c r="M384" s="215"/>
      <c r="N384" s="215"/>
      <c r="O384" s="23"/>
      <c r="P384" s="14"/>
      <c r="Q384" s="21"/>
      <c r="R384" s="1703"/>
      <c r="S384" s="1687"/>
      <c r="T384" s="1687"/>
      <c r="U384" s="1700"/>
    </row>
    <row r="385" spans="1:27" ht="14.85" customHeight="1" x14ac:dyDescent="0.2">
      <c r="A385" s="1718"/>
      <c r="B385" s="1720"/>
      <c r="C385" s="1721"/>
      <c r="D385" s="1722"/>
      <c r="E385" s="1639"/>
      <c r="F385" s="1618"/>
      <c r="G385" s="24" t="s">
        <v>13</v>
      </c>
      <c r="H385" s="39">
        <f>+H378+H379+H380+H383+H384</f>
        <v>0</v>
      </c>
      <c r="I385" s="40">
        <f t="shared" ref="I385:Q385" si="103">+I378+I379+I380+I383+I384</f>
        <v>0</v>
      </c>
      <c r="J385" s="40">
        <f t="shared" si="103"/>
        <v>0</v>
      </c>
      <c r="K385" s="42">
        <f t="shared" si="103"/>
        <v>0</v>
      </c>
      <c r="L385" s="55">
        <f t="shared" si="103"/>
        <v>0</v>
      </c>
      <c r="M385" s="40">
        <f t="shared" si="103"/>
        <v>0</v>
      </c>
      <c r="N385" s="40">
        <f t="shared" si="103"/>
        <v>0</v>
      </c>
      <c r="O385" s="41">
        <f t="shared" si="103"/>
        <v>0</v>
      </c>
      <c r="P385" s="43">
        <f t="shared" si="103"/>
        <v>0</v>
      </c>
      <c r="Q385" s="56">
        <f t="shared" si="103"/>
        <v>0</v>
      </c>
      <c r="R385" s="1703"/>
      <c r="S385" s="26"/>
      <c r="T385" s="26"/>
      <c r="U385" s="31"/>
    </row>
    <row r="386" spans="1:27" ht="14.85" customHeight="1" x14ac:dyDescent="0.2">
      <c r="A386" s="1716" t="s">
        <v>17</v>
      </c>
      <c r="B386" s="1719">
        <v>3</v>
      </c>
      <c r="C386" s="1609">
        <v>33</v>
      </c>
      <c r="D386" s="1679" t="s">
        <v>177</v>
      </c>
      <c r="E386" s="1615" t="s">
        <v>152</v>
      </c>
      <c r="F386" s="1650">
        <v>16</v>
      </c>
      <c r="G386" s="23" t="s">
        <v>30</v>
      </c>
      <c r="H386" s="191"/>
      <c r="I386" s="215"/>
      <c r="J386" s="215"/>
      <c r="K386" s="216"/>
      <c r="L386" s="49"/>
      <c r="M386" s="215"/>
      <c r="N386" s="215"/>
      <c r="O386" s="23"/>
      <c r="P386" s="14"/>
      <c r="Q386" s="21"/>
      <c r="R386" s="1703" t="s">
        <v>178</v>
      </c>
      <c r="S386" s="1687"/>
      <c r="T386" s="1687"/>
      <c r="U386" s="1693"/>
    </row>
    <row r="387" spans="1:27" ht="14.85" customHeight="1" x14ac:dyDescent="0.2">
      <c r="A387" s="1717"/>
      <c r="B387" s="1720"/>
      <c r="C387" s="1610"/>
      <c r="D387" s="1680"/>
      <c r="E387" s="1616"/>
      <c r="F387" s="1651"/>
      <c r="G387" s="13" t="s">
        <v>73</v>
      </c>
      <c r="H387" s="191"/>
      <c r="I387" s="215"/>
      <c r="J387" s="215"/>
      <c r="K387" s="216"/>
      <c r="L387" s="49"/>
      <c r="M387" s="215"/>
      <c r="N387" s="215"/>
      <c r="O387" s="23"/>
      <c r="P387" s="14"/>
      <c r="Q387" s="21"/>
      <c r="R387" s="1703"/>
      <c r="S387" s="1687"/>
      <c r="T387" s="1687"/>
      <c r="U387" s="1693"/>
      <c r="V387" s="1715"/>
      <c r="W387" s="1715"/>
      <c r="X387" s="1715"/>
      <c r="Y387" s="1715"/>
    </row>
    <row r="388" spans="1:27" ht="14.85" customHeight="1" x14ac:dyDescent="0.2">
      <c r="A388" s="1717"/>
      <c r="B388" s="1720"/>
      <c r="C388" s="1610"/>
      <c r="D388" s="1680"/>
      <c r="E388" s="1616"/>
      <c r="F388" s="1651"/>
      <c r="G388" s="15" t="s">
        <v>59</v>
      </c>
      <c r="H388" s="16"/>
      <c r="I388" s="17"/>
      <c r="J388" s="17"/>
      <c r="K388" s="19"/>
      <c r="L388" s="50"/>
      <c r="M388" s="17"/>
      <c r="N388" s="17"/>
      <c r="O388" s="18"/>
      <c r="P388" s="20">
        <f>+P389+P390</f>
        <v>0</v>
      </c>
      <c r="Q388" s="37">
        <f>+Q389+Q390</f>
        <v>0</v>
      </c>
      <c r="R388" s="1703"/>
      <c r="S388" s="1687"/>
      <c r="T388" s="1687"/>
      <c r="U388" s="1693"/>
      <c r="V388" s="1715"/>
      <c r="W388" s="1689"/>
      <c r="X388" s="1689"/>
      <c r="Y388" s="1689"/>
    </row>
    <row r="389" spans="1:27" ht="14.85" customHeight="1" x14ac:dyDescent="0.2">
      <c r="A389" s="1717"/>
      <c r="B389" s="1720"/>
      <c r="C389" s="1610"/>
      <c r="D389" s="1680"/>
      <c r="E389" s="1616"/>
      <c r="F389" s="1651"/>
      <c r="G389" s="101" t="s">
        <v>130</v>
      </c>
      <c r="H389" s="123"/>
      <c r="I389" s="124"/>
      <c r="J389" s="124"/>
      <c r="K389" s="125"/>
      <c r="L389" s="159"/>
      <c r="M389" s="160"/>
      <c r="N389" s="160"/>
      <c r="O389" s="161"/>
      <c r="P389" s="127"/>
      <c r="Q389" s="128"/>
      <c r="R389" s="1703"/>
      <c r="S389" s="1687"/>
      <c r="T389" s="1687"/>
      <c r="U389" s="1693"/>
    </row>
    <row r="390" spans="1:27" ht="14.85" customHeight="1" x14ac:dyDescent="0.2">
      <c r="A390" s="1717"/>
      <c r="B390" s="1720"/>
      <c r="C390" s="1610"/>
      <c r="D390" s="1680"/>
      <c r="E390" s="1616"/>
      <c r="F390" s="1651"/>
      <c r="G390" s="101" t="s">
        <v>71</v>
      </c>
      <c r="H390" s="123"/>
      <c r="I390" s="124"/>
      <c r="J390" s="124"/>
      <c r="K390" s="125"/>
      <c r="L390" s="159"/>
      <c r="M390" s="160"/>
      <c r="N390" s="160"/>
      <c r="O390" s="161"/>
      <c r="P390" s="127"/>
      <c r="Q390" s="128"/>
      <c r="R390" s="1703"/>
      <c r="S390" s="1687"/>
      <c r="T390" s="1687"/>
      <c r="U390" s="1693"/>
      <c r="V390" s="1649"/>
      <c r="W390" s="1697"/>
      <c r="X390" s="1697"/>
      <c r="Y390" s="1697"/>
      <c r="Z390" s="1697"/>
      <c r="AA390" s="1697"/>
    </row>
    <row r="391" spans="1:27" ht="14.85" customHeight="1" x14ac:dyDescent="0.2">
      <c r="A391" s="1717"/>
      <c r="B391" s="1720"/>
      <c r="C391" s="1610"/>
      <c r="D391" s="1680"/>
      <c r="E391" s="1616"/>
      <c r="F391" s="1651"/>
      <c r="G391" s="13" t="s">
        <v>36</v>
      </c>
      <c r="H391" s="191"/>
      <c r="I391" s="215"/>
      <c r="J391" s="215"/>
      <c r="K391" s="216"/>
      <c r="L391" s="159"/>
      <c r="M391" s="160"/>
      <c r="N391" s="160"/>
      <c r="O391" s="161"/>
      <c r="P391" s="14"/>
      <c r="Q391" s="21"/>
      <c r="R391" s="1703"/>
      <c r="S391" s="1687"/>
      <c r="T391" s="1687"/>
      <c r="U391" s="1693"/>
    </row>
    <row r="392" spans="1:27" ht="14.85" customHeight="1" x14ac:dyDescent="0.2">
      <c r="A392" s="1717"/>
      <c r="B392" s="1720"/>
      <c r="C392" s="1610"/>
      <c r="D392" s="1680"/>
      <c r="E392" s="1616"/>
      <c r="F392" s="1651"/>
      <c r="G392" s="13" t="s">
        <v>72</v>
      </c>
      <c r="H392" s="191"/>
      <c r="I392" s="215"/>
      <c r="J392" s="215"/>
      <c r="K392" s="216"/>
      <c r="L392" s="49"/>
      <c r="M392" s="215"/>
      <c r="N392" s="215"/>
      <c r="O392" s="23"/>
      <c r="P392" s="14"/>
      <c r="Q392" s="21"/>
      <c r="R392" s="1703"/>
      <c r="S392" s="1687"/>
      <c r="T392" s="1687"/>
      <c r="U392" s="1693"/>
    </row>
    <row r="393" spans="1:27" ht="14.85" customHeight="1" thickBot="1" x14ac:dyDescent="0.25">
      <c r="A393" s="1718"/>
      <c r="B393" s="1720"/>
      <c r="C393" s="1721"/>
      <c r="D393" s="1722"/>
      <c r="E393" s="1639"/>
      <c r="F393" s="1618"/>
      <c r="G393" s="24" t="s">
        <v>13</v>
      </c>
      <c r="H393" s="39">
        <f>+H386+H387+H388+H391+H392</f>
        <v>0</v>
      </c>
      <c r="I393" s="40">
        <f t="shared" ref="I393:Q393" si="104">+I386+I387+I388+I391+I392</f>
        <v>0</v>
      </c>
      <c r="J393" s="40">
        <f t="shared" si="104"/>
        <v>0</v>
      </c>
      <c r="K393" s="42">
        <f t="shared" si="104"/>
        <v>0</v>
      </c>
      <c r="L393" s="55">
        <f t="shared" si="104"/>
        <v>0</v>
      </c>
      <c r="M393" s="40">
        <f t="shared" si="104"/>
        <v>0</v>
      </c>
      <c r="N393" s="40">
        <f t="shared" si="104"/>
        <v>0</v>
      </c>
      <c r="O393" s="41">
        <f t="shared" si="104"/>
        <v>0</v>
      </c>
      <c r="P393" s="43">
        <f t="shared" si="104"/>
        <v>0</v>
      </c>
      <c r="Q393" s="56">
        <f t="shared" si="104"/>
        <v>0</v>
      </c>
      <c r="R393" s="1703"/>
      <c r="S393" s="26"/>
      <c r="T393" s="26"/>
      <c r="U393" s="31"/>
    </row>
    <row r="394" spans="1:27" ht="14.85" customHeight="1" thickBot="1" x14ac:dyDescent="0.25">
      <c r="A394" s="212" t="s">
        <v>17</v>
      </c>
      <c r="B394" s="214" t="s">
        <v>19</v>
      </c>
      <c r="C394" s="1653" t="s">
        <v>14</v>
      </c>
      <c r="D394" s="1654"/>
      <c r="E394" s="1654"/>
      <c r="F394" s="1654"/>
      <c r="G394" s="1654"/>
      <c r="H394" s="45">
        <f>+H233+H241+H249+H265+H273+H281+H289+H297+H305+H313+H321+H329+H257+H225+H217+H209+H201+H193+H337+H345+H353+H361+H369+H377+H393+H385</f>
        <v>145.79999999999998</v>
      </c>
      <c r="I394" s="222">
        <f t="shared" ref="I394:Q394" si="105">+I233+I241+I249+I265+I273+I281+I289+I297+I305+I313+I321+I329+I257+I225+I217+I209+I201+I193+I337+I345+I353+I361+I369+I377+I393+I385</f>
        <v>10.100000000000001</v>
      </c>
      <c r="J394" s="222">
        <f t="shared" si="105"/>
        <v>0</v>
      </c>
      <c r="K394" s="46">
        <f t="shared" si="105"/>
        <v>135.69999999999999</v>
      </c>
      <c r="L394" s="45">
        <f>+L233+L241+L249+L265+L273+L281+L289+L297+L305+L313+L321+L329+L257+L225+L217+L209+L201+L193+L337+L345+L353+L361+L369+L377+L393+L385</f>
        <v>102.4</v>
      </c>
      <c r="M394" s="222">
        <f t="shared" si="105"/>
        <v>10.100000000000001</v>
      </c>
      <c r="N394" s="222">
        <f t="shared" si="105"/>
        <v>0</v>
      </c>
      <c r="O394" s="46">
        <f>+O233+O241+O249+O265+O273+O281+O289+O297+O305+O313+O321+O329+O257+O225+O217+O209+O201+O193+O337+O345+O353+O361+O369+O377+O393+O385</f>
        <v>92.3</v>
      </c>
      <c r="P394" s="45">
        <f t="shared" si="105"/>
        <v>2546.54</v>
      </c>
      <c r="Q394" s="222">
        <f t="shared" si="105"/>
        <v>2112.5300000000002</v>
      </c>
      <c r="R394" s="117" t="s">
        <v>23</v>
      </c>
      <c r="S394" s="225" t="s">
        <v>23</v>
      </c>
      <c r="T394" s="225" t="s">
        <v>23</v>
      </c>
      <c r="U394" s="118" t="s">
        <v>23</v>
      </c>
    </row>
    <row r="395" spans="1:27" ht="14.85" customHeight="1" thickBot="1" x14ac:dyDescent="0.25">
      <c r="A395" s="211" t="s">
        <v>17</v>
      </c>
      <c r="B395" s="213" t="s">
        <v>20</v>
      </c>
      <c r="C395" s="1704" t="s">
        <v>74</v>
      </c>
      <c r="D395" s="1705"/>
      <c r="E395" s="1705"/>
      <c r="F395" s="1705"/>
      <c r="G395" s="1705"/>
      <c r="H395" s="1705"/>
      <c r="I395" s="1705"/>
      <c r="J395" s="1705"/>
      <c r="K395" s="1705"/>
      <c r="L395" s="1705"/>
      <c r="M395" s="1705"/>
      <c r="N395" s="1705"/>
      <c r="O395" s="1705"/>
      <c r="P395" s="1705"/>
      <c r="Q395" s="1705"/>
      <c r="R395" s="1705"/>
      <c r="S395" s="1705"/>
      <c r="T395" s="1705"/>
      <c r="U395" s="1706"/>
    </row>
    <row r="396" spans="1:27" ht="14.85" customHeight="1" x14ac:dyDescent="0.2">
      <c r="A396" s="1707" t="s">
        <v>17</v>
      </c>
      <c r="B396" s="1708" t="s">
        <v>20</v>
      </c>
      <c r="C396" s="1709" t="s">
        <v>17</v>
      </c>
      <c r="D396" s="1710" t="s">
        <v>179</v>
      </c>
      <c r="E396" s="1711" t="s">
        <v>58</v>
      </c>
      <c r="F396" s="1712">
        <v>1</v>
      </c>
      <c r="G396" s="740" t="s">
        <v>30</v>
      </c>
      <c r="H396" s="109"/>
      <c r="I396" s="738"/>
      <c r="J396" s="738"/>
      <c r="K396" s="740"/>
      <c r="L396" s="109"/>
      <c r="M396" s="738"/>
      <c r="N396" s="738"/>
      <c r="O396" s="47"/>
      <c r="P396" s="12"/>
      <c r="Q396" s="102"/>
      <c r="R396" s="1645" t="s">
        <v>138</v>
      </c>
      <c r="S396" s="1713">
        <v>100</v>
      </c>
      <c r="T396" s="1713">
        <v>99.9</v>
      </c>
      <c r="U396" s="1714" t="s">
        <v>206</v>
      </c>
    </row>
    <row r="397" spans="1:27" ht="14.85" customHeight="1" x14ac:dyDescent="0.2">
      <c r="A397" s="1634"/>
      <c r="B397" s="1635"/>
      <c r="C397" s="1699"/>
      <c r="D397" s="1696"/>
      <c r="E397" s="1695"/>
      <c r="F397" s="1619"/>
      <c r="G397" s="129" t="s">
        <v>73</v>
      </c>
      <c r="H397" s="49"/>
      <c r="I397" s="734"/>
      <c r="J397" s="734"/>
      <c r="K397" s="735"/>
      <c r="L397" s="49"/>
      <c r="M397" s="734"/>
      <c r="N397" s="734"/>
      <c r="O397" s="23"/>
      <c r="P397" s="14"/>
      <c r="Q397" s="21"/>
      <c r="R397" s="1641"/>
      <c r="S397" s="1687"/>
      <c r="T397" s="1687"/>
      <c r="U397" s="1640"/>
    </row>
    <row r="398" spans="1:27" ht="14.85" customHeight="1" x14ac:dyDescent="0.2">
      <c r="A398" s="1634"/>
      <c r="B398" s="1635"/>
      <c r="C398" s="1699"/>
      <c r="D398" s="1696"/>
      <c r="E398" s="1695"/>
      <c r="F398" s="1619"/>
      <c r="G398" s="130" t="s">
        <v>59</v>
      </c>
      <c r="H398" s="50"/>
      <c r="I398" s="17"/>
      <c r="J398" s="17"/>
      <c r="K398" s="19"/>
      <c r="L398" s="50">
        <f>+L399+L400</f>
        <v>0</v>
      </c>
      <c r="M398" s="17">
        <f t="shared" ref="M398:Q398" si="106">+M399+M400</f>
        <v>0</v>
      </c>
      <c r="N398" s="17">
        <f t="shared" si="106"/>
        <v>0</v>
      </c>
      <c r="O398" s="18">
        <f t="shared" si="106"/>
        <v>0</v>
      </c>
      <c r="P398" s="20">
        <f t="shared" si="106"/>
        <v>0</v>
      </c>
      <c r="Q398" s="37">
        <f t="shared" si="106"/>
        <v>0</v>
      </c>
      <c r="R398" s="1641"/>
      <c r="S398" s="1687"/>
      <c r="T398" s="1687"/>
      <c r="U398" s="1640"/>
    </row>
    <row r="399" spans="1:27" ht="14.85" customHeight="1" x14ac:dyDescent="0.2">
      <c r="A399" s="1634"/>
      <c r="B399" s="1635"/>
      <c r="C399" s="1699"/>
      <c r="D399" s="1696"/>
      <c r="E399" s="1695"/>
      <c r="F399" s="1619"/>
      <c r="G399" s="131" t="s">
        <v>130</v>
      </c>
      <c r="H399" s="126"/>
      <c r="I399" s="124"/>
      <c r="J399" s="124"/>
      <c r="K399" s="125"/>
      <c r="L399" s="126"/>
      <c r="M399" s="124"/>
      <c r="N399" s="124"/>
      <c r="O399" s="122"/>
      <c r="P399" s="127"/>
      <c r="Q399" s="128"/>
      <c r="R399" s="1641"/>
      <c r="S399" s="1687"/>
      <c r="T399" s="1687"/>
      <c r="U399" s="1640"/>
      <c r="V399" s="1688"/>
      <c r="W399" s="1689"/>
      <c r="X399" s="1689"/>
      <c r="Y399" s="1689"/>
    </row>
    <row r="400" spans="1:27" ht="14.85" customHeight="1" x14ac:dyDescent="0.2">
      <c r="A400" s="1634"/>
      <c r="B400" s="1635"/>
      <c r="C400" s="1699"/>
      <c r="D400" s="1696"/>
      <c r="E400" s="1695"/>
      <c r="F400" s="1619"/>
      <c r="G400" s="131" t="s">
        <v>71</v>
      </c>
      <c r="H400" s="126"/>
      <c r="I400" s="124"/>
      <c r="J400" s="124"/>
      <c r="K400" s="125"/>
      <c r="L400" s="126"/>
      <c r="M400" s="124"/>
      <c r="N400" s="124"/>
      <c r="O400" s="122"/>
      <c r="P400" s="127"/>
      <c r="Q400" s="128"/>
      <c r="R400" s="1641"/>
      <c r="S400" s="1687"/>
      <c r="T400" s="1687"/>
      <c r="U400" s="1640"/>
    </row>
    <row r="401" spans="1:27" ht="14.85" customHeight="1" x14ac:dyDescent="0.2">
      <c r="A401" s="1634"/>
      <c r="B401" s="1635"/>
      <c r="C401" s="1699"/>
      <c r="D401" s="1696"/>
      <c r="E401" s="1695"/>
      <c r="F401" s="1619"/>
      <c r="G401" s="129" t="s">
        <v>36</v>
      </c>
      <c r="H401" s="49"/>
      <c r="I401" s="734"/>
      <c r="J401" s="734"/>
      <c r="K401" s="735"/>
      <c r="L401" s="49"/>
      <c r="M401" s="734"/>
      <c r="N401" s="734"/>
      <c r="O401" s="23"/>
      <c r="P401" s="14"/>
      <c r="Q401" s="21"/>
      <c r="R401" s="1641"/>
      <c r="S401" s="1687"/>
      <c r="T401" s="1687"/>
      <c r="U401" s="1640"/>
    </row>
    <row r="402" spans="1:27" ht="14.85" customHeight="1" x14ac:dyDescent="0.2">
      <c r="A402" s="1634"/>
      <c r="B402" s="1635"/>
      <c r="C402" s="1699"/>
      <c r="D402" s="1696"/>
      <c r="E402" s="1695"/>
      <c r="F402" s="1619"/>
      <c r="G402" s="129" t="s">
        <v>72</v>
      </c>
      <c r="H402" s="49">
        <v>544</v>
      </c>
      <c r="I402" s="734"/>
      <c r="J402" s="734"/>
      <c r="K402" s="735">
        <v>544</v>
      </c>
      <c r="L402" s="63">
        <v>543.5</v>
      </c>
      <c r="M402" s="736"/>
      <c r="N402" s="736"/>
      <c r="O402" s="69">
        <v>543.5</v>
      </c>
      <c r="P402" s="14">
        <v>446</v>
      </c>
      <c r="Q402" s="21">
        <v>446</v>
      </c>
      <c r="R402" s="1641"/>
      <c r="S402" s="1687"/>
      <c r="T402" s="1687"/>
      <c r="U402" s="1640"/>
    </row>
    <row r="403" spans="1:27" ht="14.85" customHeight="1" x14ac:dyDescent="0.2">
      <c r="A403" s="1634"/>
      <c r="B403" s="1635"/>
      <c r="C403" s="1699"/>
      <c r="D403" s="1696"/>
      <c r="E403" s="1695"/>
      <c r="F403" s="1619"/>
      <c r="G403" s="132" t="s">
        <v>13</v>
      </c>
      <c r="H403" s="27">
        <f>+H396+H397+H398+H401+H402</f>
        <v>544</v>
      </c>
      <c r="I403" s="26">
        <f t="shared" ref="I403:Q403" si="107">+I396+I397+I398+I401+I402</f>
        <v>0</v>
      </c>
      <c r="J403" s="26">
        <f t="shared" si="107"/>
        <v>0</v>
      </c>
      <c r="K403" s="31">
        <f t="shared" si="107"/>
        <v>544</v>
      </c>
      <c r="L403" s="27">
        <f t="shared" si="107"/>
        <v>543.5</v>
      </c>
      <c r="M403" s="26">
        <f t="shared" si="107"/>
        <v>0</v>
      </c>
      <c r="N403" s="26">
        <f t="shared" si="107"/>
        <v>0</v>
      </c>
      <c r="O403" s="30">
        <f t="shared" si="107"/>
        <v>543.5</v>
      </c>
      <c r="P403" s="32">
        <f t="shared" si="107"/>
        <v>446</v>
      </c>
      <c r="Q403" s="25">
        <f t="shared" si="107"/>
        <v>446</v>
      </c>
      <c r="R403" s="1641"/>
      <c r="S403" s="26">
        <f>SUM(S396:S396)</f>
        <v>100</v>
      </c>
      <c r="T403" s="26">
        <f>SUM(T396:T396)</f>
        <v>99.9</v>
      </c>
      <c r="U403" s="31"/>
    </row>
    <row r="404" spans="1:27" ht="14.85" customHeight="1" x14ac:dyDescent="0.2">
      <c r="A404" s="1634" t="s">
        <v>17</v>
      </c>
      <c r="B404" s="1635" t="s">
        <v>20</v>
      </c>
      <c r="C404" s="1699" t="s">
        <v>18</v>
      </c>
      <c r="D404" s="1701" t="s">
        <v>33</v>
      </c>
      <c r="E404" s="1695" t="s">
        <v>58</v>
      </c>
      <c r="F404" s="1619">
        <v>1</v>
      </c>
      <c r="G404" s="216" t="s">
        <v>30</v>
      </c>
      <c r="H404" s="49"/>
      <c r="I404" s="215"/>
      <c r="J404" s="215"/>
      <c r="K404" s="216"/>
      <c r="L404" s="49"/>
      <c r="M404" s="215"/>
      <c r="N404" s="215"/>
      <c r="O404" s="23"/>
      <c r="P404" s="14"/>
      <c r="Q404" s="21"/>
      <c r="R404" s="1641" t="s">
        <v>52</v>
      </c>
      <c r="S404" s="1687">
        <v>830</v>
      </c>
      <c r="T404" s="1687">
        <v>830</v>
      </c>
      <c r="U404" s="1693"/>
    </row>
    <row r="405" spans="1:27" ht="14.85" customHeight="1" x14ac:dyDescent="0.2">
      <c r="A405" s="1634"/>
      <c r="B405" s="1635"/>
      <c r="C405" s="1699"/>
      <c r="D405" s="1701"/>
      <c r="E405" s="1695"/>
      <c r="F405" s="1619"/>
      <c r="G405" s="129" t="s">
        <v>73</v>
      </c>
      <c r="H405" s="49"/>
      <c r="I405" s="215"/>
      <c r="J405" s="215"/>
      <c r="K405" s="216"/>
      <c r="L405" s="49"/>
      <c r="M405" s="215"/>
      <c r="N405" s="215"/>
      <c r="O405" s="23"/>
      <c r="P405" s="14"/>
      <c r="Q405" s="21"/>
      <c r="R405" s="1641"/>
      <c r="S405" s="1687"/>
      <c r="T405" s="1687"/>
      <c r="U405" s="1693"/>
    </row>
    <row r="406" spans="1:27" ht="14.85" customHeight="1" x14ac:dyDescent="0.2">
      <c r="A406" s="1634"/>
      <c r="B406" s="1635"/>
      <c r="C406" s="1699"/>
      <c r="D406" s="1701"/>
      <c r="E406" s="1695"/>
      <c r="F406" s="1619"/>
      <c r="G406" s="130" t="s">
        <v>59</v>
      </c>
      <c r="H406" s="50"/>
      <c r="I406" s="17"/>
      <c r="J406" s="17"/>
      <c r="K406" s="19"/>
      <c r="L406" s="50">
        <f>+L407+L408</f>
        <v>0</v>
      </c>
      <c r="M406" s="17">
        <f t="shared" ref="M406:Q406" si="108">+M407+M408</f>
        <v>0</v>
      </c>
      <c r="N406" s="17">
        <f t="shared" si="108"/>
        <v>0</v>
      </c>
      <c r="O406" s="18">
        <f t="shared" si="108"/>
        <v>0</v>
      </c>
      <c r="P406" s="20">
        <f t="shared" si="108"/>
        <v>0</v>
      </c>
      <c r="Q406" s="37">
        <f t="shared" si="108"/>
        <v>0</v>
      </c>
      <c r="R406" s="1641"/>
      <c r="S406" s="1687"/>
      <c r="T406" s="1687"/>
      <c r="U406" s="1693"/>
      <c r="V406" s="1688"/>
      <c r="W406" s="1689"/>
      <c r="X406" s="1689"/>
    </row>
    <row r="407" spans="1:27" ht="14.85" customHeight="1" x14ac:dyDescent="0.2">
      <c r="A407" s="1634"/>
      <c r="B407" s="1635"/>
      <c r="C407" s="1699"/>
      <c r="D407" s="1701"/>
      <c r="E407" s="1695"/>
      <c r="F407" s="1619"/>
      <c r="G407" s="131" t="s">
        <v>130</v>
      </c>
      <c r="H407" s="126"/>
      <c r="I407" s="124"/>
      <c r="J407" s="124"/>
      <c r="K407" s="125"/>
      <c r="L407" s="126"/>
      <c r="M407" s="124"/>
      <c r="N407" s="124"/>
      <c r="O407" s="122"/>
      <c r="P407" s="127"/>
      <c r="Q407" s="128"/>
      <c r="R407" s="1641"/>
      <c r="S407" s="1687"/>
      <c r="T407" s="1687"/>
      <c r="U407" s="1693"/>
    </row>
    <row r="408" spans="1:27" ht="14.85" customHeight="1" x14ac:dyDescent="0.2">
      <c r="A408" s="1634"/>
      <c r="B408" s="1635"/>
      <c r="C408" s="1699"/>
      <c r="D408" s="1701"/>
      <c r="E408" s="1695"/>
      <c r="F408" s="1619"/>
      <c r="G408" s="131" t="s">
        <v>71</v>
      </c>
      <c r="H408" s="126"/>
      <c r="I408" s="124"/>
      <c r="J408" s="124"/>
      <c r="K408" s="125"/>
      <c r="L408" s="126"/>
      <c r="M408" s="124"/>
      <c r="N408" s="124"/>
      <c r="O408" s="122"/>
      <c r="P408" s="127"/>
      <c r="Q408" s="128"/>
      <c r="R408" s="1641"/>
      <c r="S408" s="1687"/>
      <c r="T408" s="1687"/>
      <c r="U408" s="1693"/>
    </row>
    <row r="409" spans="1:27" ht="14.85" customHeight="1" x14ac:dyDescent="0.2">
      <c r="A409" s="1634"/>
      <c r="B409" s="1635"/>
      <c r="C409" s="1699"/>
      <c r="D409" s="1701"/>
      <c r="E409" s="1695"/>
      <c r="F409" s="1619"/>
      <c r="G409" s="129" t="s">
        <v>36</v>
      </c>
      <c r="H409" s="49"/>
      <c r="I409" s="215"/>
      <c r="J409" s="215"/>
      <c r="K409" s="216"/>
      <c r="L409" s="49"/>
      <c r="M409" s="215"/>
      <c r="N409" s="215"/>
      <c r="O409" s="23"/>
      <c r="P409" s="14"/>
      <c r="Q409" s="21"/>
      <c r="R409" s="1641"/>
      <c r="S409" s="1687"/>
      <c r="T409" s="1687"/>
      <c r="U409" s="1693"/>
    </row>
    <row r="410" spans="1:27" ht="14.85" customHeight="1" x14ac:dyDescent="0.2">
      <c r="A410" s="1634"/>
      <c r="B410" s="1635"/>
      <c r="C410" s="1699"/>
      <c r="D410" s="1701"/>
      <c r="E410" s="1695"/>
      <c r="F410" s="1619"/>
      <c r="G410" s="129" t="s">
        <v>72</v>
      </c>
      <c r="H410" s="49">
        <v>367.7</v>
      </c>
      <c r="I410" s="215">
        <v>367.7</v>
      </c>
      <c r="J410" s="215"/>
      <c r="K410" s="216"/>
      <c r="L410" s="63">
        <v>367.5</v>
      </c>
      <c r="M410" s="220">
        <v>367.5</v>
      </c>
      <c r="N410" s="215"/>
      <c r="O410" s="23"/>
      <c r="P410" s="14"/>
      <c r="Q410" s="21"/>
      <c r="R410" s="1641"/>
      <c r="S410" s="1687"/>
      <c r="T410" s="1687"/>
      <c r="U410" s="1693"/>
    </row>
    <row r="411" spans="1:27" ht="14.85" customHeight="1" x14ac:dyDescent="0.2">
      <c r="A411" s="1634"/>
      <c r="B411" s="1635"/>
      <c r="C411" s="1699"/>
      <c r="D411" s="1701"/>
      <c r="E411" s="1695"/>
      <c r="F411" s="1619"/>
      <c r="G411" s="132" t="s">
        <v>13</v>
      </c>
      <c r="H411" s="27">
        <f>+H404+H405+H406+H409+H410</f>
        <v>367.7</v>
      </c>
      <c r="I411" s="26">
        <f t="shared" ref="I411:Q411" si="109">+I404+I405+I406+I409+I410</f>
        <v>367.7</v>
      </c>
      <c r="J411" s="26">
        <f t="shared" si="109"/>
        <v>0</v>
      </c>
      <c r="K411" s="31">
        <f t="shared" si="109"/>
        <v>0</v>
      </c>
      <c r="L411" s="27">
        <f t="shared" si="109"/>
        <v>367.5</v>
      </c>
      <c r="M411" s="26">
        <f t="shared" si="109"/>
        <v>367.5</v>
      </c>
      <c r="N411" s="26">
        <f t="shared" si="109"/>
        <v>0</v>
      </c>
      <c r="O411" s="30">
        <f t="shared" si="109"/>
        <v>0</v>
      </c>
      <c r="P411" s="32">
        <f t="shared" si="109"/>
        <v>0</v>
      </c>
      <c r="Q411" s="25">
        <f t="shared" si="109"/>
        <v>0</v>
      </c>
      <c r="R411" s="1641"/>
      <c r="S411" s="26">
        <f>SUM(S404:S404)</f>
        <v>830</v>
      </c>
      <c r="T411" s="26">
        <f>SUM(T404:T404)</f>
        <v>830</v>
      </c>
      <c r="U411" s="31"/>
    </row>
    <row r="412" spans="1:27" ht="14.85" customHeight="1" x14ac:dyDescent="0.2">
      <c r="A412" s="1634" t="s">
        <v>17</v>
      </c>
      <c r="B412" s="1635" t="s">
        <v>20</v>
      </c>
      <c r="C412" s="1702">
        <v>4</v>
      </c>
      <c r="D412" s="1694" t="s">
        <v>82</v>
      </c>
      <c r="E412" s="1695" t="s">
        <v>58</v>
      </c>
      <c r="F412" s="1619">
        <v>1</v>
      </c>
      <c r="G412" s="216" t="s">
        <v>30</v>
      </c>
      <c r="H412" s="49"/>
      <c r="I412" s="215"/>
      <c r="J412" s="215"/>
      <c r="K412" s="216"/>
      <c r="L412" s="49"/>
      <c r="M412" s="215"/>
      <c r="N412" s="215"/>
      <c r="O412" s="23"/>
      <c r="P412" s="14">
        <v>230.3</v>
      </c>
      <c r="Q412" s="21"/>
      <c r="R412" s="1703" t="s">
        <v>53</v>
      </c>
      <c r="S412" s="1687"/>
      <c r="T412" s="1687"/>
      <c r="U412" s="1700" t="s">
        <v>207</v>
      </c>
    </row>
    <row r="413" spans="1:27" ht="14.85" customHeight="1" x14ac:dyDescent="0.2">
      <c r="A413" s="1634"/>
      <c r="B413" s="1635"/>
      <c r="C413" s="1702"/>
      <c r="D413" s="1694"/>
      <c r="E413" s="1695"/>
      <c r="F413" s="1619"/>
      <c r="G413" s="129" t="s">
        <v>73</v>
      </c>
      <c r="H413" s="49"/>
      <c r="I413" s="215"/>
      <c r="J413" s="215"/>
      <c r="K413" s="216"/>
      <c r="L413" s="49"/>
      <c r="M413" s="215"/>
      <c r="N413" s="215"/>
      <c r="O413" s="23"/>
      <c r="P413" s="14"/>
      <c r="Q413" s="21"/>
      <c r="R413" s="1703"/>
      <c r="S413" s="1687"/>
      <c r="T413" s="1687"/>
      <c r="U413" s="1700"/>
    </row>
    <row r="414" spans="1:27" ht="14.85" customHeight="1" x14ac:dyDescent="0.2">
      <c r="A414" s="1634"/>
      <c r="B414" s="1635"/>
      <c r="C414" s="1702"/>
      <c r="D414" s="1694"/>
      <c r="E414" s="1695"/>
      <c r="F414" s="1619"/>
      <c r="G414" s="130" t="s">
        <v>59</v>
      </c>
      <c r="H414" s="50">
        <f>+H415+H416</f>
        <v>0</v>
      </c>
      <c r="I414" s="17">
        <f t="shared" ref="I414:K414" si="110">+I415+I416</f>
        <v>0</v>
      </c>
      <c r="J414" s="17">
        <f t="shared" si="110"/>
        <v>0</v>
      </c>
      <c r="K414" s="19">
        <f t="shared" si="110"/>
        <v>0</v>
      </c>
      <c r="L414" s="50">
        <f>+L415+L416</f>
        <v>0</v>
      </c>
      <c r="M414" s="17">
        <f t="shared" ref="M414:Q414" si="111">+M415+M416</f>
        <v>0</v>
      </c>
      <c r="N414" s="17">
        <f t="shared" si="111"/>
        <v>0</v>
      </c>
      <c r="O414" s="18">
        <f t="shared" si="111"/>
        <v>0</v>
      </c>
      <c r="P414" s="20">
        <f t="shared" si="111"/>
        <v>20.3</v>
      </c>
      <c r="Q414" s="37">
        <f t="shared" si="111"/>
        <v>0</v>
      </c>
      <c r="R414" s="1703"/>
      <c r="S414" s="1687"/>
      <c r="T414" s="1687"/>
      <c r="U414" s="1700"/>
    </row>
    <row r="415" spans="1:27" ht="14.85" customHeight="1" x14ac:dyDescent="0.2">
      <c r="A415" s="1634"/>
      <c r="B415" s="1635"/>
      <c r="C415" s="1702"/>
      <c r="D415" s="1694"/>
      <c r="E415" s="1695"/>
      <c r="F415" s="1619"/>
      <c r="G415" s="131" t="s">
        <v>130</v>
      </c>
      <c r="H415" s="159"/>
      <c r="I415" s="160"/>
      <c r="J415" s="160"/>
      <c r="K415" s="164"/>
      <c r="L415" s="159"/>
      <c r="M415" s="160"/>
      <c r="N415" s="160"/>
      <c r="O415" s="161"/>
      <c r="P415" s="162">
        <v>20.3</v>
      </c>
      <c r="Q415" s="128"/>
      <c r="R415" s="1703"/>
      <c r="S415" s="1687"/>
      <c r="T415" s="1687"/>
      <c r="U415" s="1700"/>
    </row>
    <row r="416" spans="1:27" ht="14.85" customHeight="1" x14ac:dyDescent="0.2">
      <c r="A416" s="1634"/>
      <c r="B416" s="1635"/>
      <c r="C416" s="1702"/>
      <c r="D416" s="1694"/>
      <c r="E416" s="1695"/>
      <c r="F416" s="1619"/>
      <c r="G416" s="131" t="s">
        <v>71</v>
      </c>
      <c r="H416" s="159"/>
      <c r="I416" s="160"/>
      <c r="J416" s="160"/>
      <c r="K416" s="164"/>
      <c r="L416" s="159"/>
      <c r="M416" s="160"/>
      <c r="N416" s="160"/>
      <c r="O416" s="161"/>
      <c r="P416" s="162"/>
      <c r="Q416" s="128"/>
      <c r="R416" s="1703"/>
      <c r="S416" s="1687"/>
      <c r="T416" s="1687"/>
      <c r="U416" s="1700"/>
      <c r="V416" s="1649"/>
      <c r="W416" s="1697"/>
      <c r="X416" s="1697"/>
      <c r="Y416" s="1697"/>
      <c r="Z416" s="1697"/>
      <c r="AA416" s="1697"/>
    </row>
    <row r="417" spans="1:23" ht="14.85" customHeight="1" x14ac:dyDescent="0.2">
      <c r="A417" s="1634"/>
      <c r="B417" s="1635"/>
      <c r="C417" s="1702"/>
      <c r="D417" s="1694"/>
      <c r="E417" s="1695"/>
      <c r="F417" s="1619"/>
      <c r="G417" s="129" t="s">
        <v>36</v>
      </c>
      <c r="H417" s="159"/>
      <c r="I417" s="160"/>
      <c r="J417" s="160"/>
      <c r="K417" s="164"/>
      <c r="L417" s="159"/>
      <c r="M417" s="160"/>
      <c r="N417" s="160"/>
      <c r="O417" s="161"/>
      <c r="P417" s="162"/>
      <c r="Q417" s="21"/>
      <c r="R417" s="1703"/>
      <c r="S417" s="1687"/>
      <c r="T417" s="1687"/>
      <c r="U417" s="1700"/>
    </row>
    <row r="418" spans="1:23" ht="14.85" customHeight="1" x14ac:dyDescent="0.2">
      <c r="A418" s="1634"/>
      <c r="B418" s="1635"/>
      <c r="C418" s="1702"/>
      <c r="D418" s="1694"/>
      <c r="E418" s="1695"/>
      <c r="F418" s="1619"/>
      <c r="G418" s="129" t="s">
        <v>72</v>
      </c>
      <c r="H418" s="159"/>
      <c r="I418" s="160"/>
      <c r="J418" s="160"/>
      <c r="K418" s="164"/>
      <c r="L418" s="159"/>
      <c r="M418" s="160"/>
      <c r="N418" s="160"/>
      <c r="O418" s="161"/>
      <c r="P418" s="162">
        <v>20.3</v>
      </c>
      <c r="Q418" s="21"/>
      <c r="R418" s="1703"/>
      <c r="S418" s="1687"/>
      <c r="T418" s="1687"/>
      <c r="U418" s="1700"/>
    </row>
    <row r="419" spans="1:23" ht="14.85" customHeight="1" x14ac:dyDescent="0.2">
      <c r="A419" s="1634"/>
      <c r="B419" s="1635"/>
      <c r="C419" s="1702"/>
      <c r="D419" s="1694"/>
      <c r="E419" s="1695"/>
      <c r="F419" s="1619"/>
      <c r="G419" s="132" t="s">
        <v>13</v>
      </c>
      <c r="H419" s="27">
        <f>+H412+H413+H414+H417+H418</f>
        <v>0</v>
      </c>
      <c r="I419" s="26">
        <f t="shared" ref="I419:Q419" si="112">+I412+I413+I414+I417+I418</f>
        <v>0</v>
      </c>
      <c r="J419" s="26">
        <f t="shared" si="112"/>
        <v>0</v>
      </c>
      <c r="K419" s="31">
        <f t="shared" si="112"/>
        <v>0</v>
      </c>
      <c r="L419" s="27">
        <f t="shared" si="112"/>
        <v>0</v>
      </c>
      <c r="M419" s="26">
        <f t="shared" si="112"/>
        <v>0</v>
      </c>
      <c r="N419" s="26">
        <f t="shared" si="112"/>
        <v>0</v>
      </c>
      <c r="O419" s="30">
        <f t="shared" si="112"/>
        <v>0</v>
      </c>
      <c r="P419" s="32">
        <f t="shared" si="112"/>
        <v>270.90000000000003</v>
      </c>
      <c r="Q419" s="25">
        <f t="shared" si="112"/>
        <v>0</v>
      </c>
      <c r="R419" s="1703"/>
      <c r="S419" s="26"/>
      <c r="T419" s="26"/>
      <c r="U419" s="31"/>
    </row>
    <row r="420" spans="1:23" s="4" customFormat="1" ht="14.85" customHeight="1" x14ac:dyDescent="0.2">
      <c r="A420" s="1634" t="s">
        <v>17</v>
      </c>
      <c r="B420" s="1635" t="s">
        <v>20</v>
      </c>
      <c r="C420" s="1699" t="s">
        <v>21</v>
      </c>
      <c r="D420" s="1694" t="s">
        <v>99</v>
      </c>
      <c r="E420" s="1695" t="s">
        <v>58</v>
      </c>
      <c r="F420" s="1619">
        <v>1</v>
      </c>
      <c r="G420" s="216" t="s">
        <v>30</v>
      </c>
      <c r="H420" s="148"/>
      <c r="I420" s="139"/>
      <c r="J420" s="139"/>
      <c r="K420" s="140"/>
      <c r="L420" s="148"/>
      <c r="M420" s="139"/>
      <c r="N420" s="139"/>
      <c r="O420" s="149"/>
      <c r="P420" s="150">
        <f>ROUND(110779.65/1000,1)</f>
        <v>110.8</v>
      </c>
      <c r="Q420" s="158">
        <f>ROUND(110779.65/1000,1)</f>
        <v>110.8</v>
      </c>
      <c r="R420" s="1698" t="s">
        <v>53</v>
      </c>
      <c r="S420" s="1687"/>
      <c r="T420" s="1687"/>
      <c r="U420" s="1693"/>
      <c r="V420" s="33"/>
      <c r="W420" s="33"/>
    </row>
    <row r="421" spans="1:23" ht="14.85" customHeight="1" x14ac:dyDescent="0.2">
      <c r="A421" s="1634"/>
      <c r="B421" s="1635"/>
      <c r="C421" s="1699"/>
      <c r="D421" s="1694"/>
      <c r="E421" s="1695"/>
      <c r="F421" s="1619"/>
      <c r="G421" s="129" t="s">
        <v>73</v>
      </c>
      <c r="H421" s="148"/>
      <c r="I421" s="139"/>
      <c r="J421" s="139"/>
      <c r="K421" s="140"/>
      <c r="L421" s="148"/>
      <c r="M421" s="139"/>
      <c r="N421" s="139"/>
      <c r="O421" s="149"/>
      <c r="P421" s="150"/>
      <c r="Q421" s="158"/>
      <c r="R421" s="1698"/>
      <c r="S421" s="1687"/>
      <c r="T421" s="1687"/>
      <c r="U421" s="1693"/>
    </row>
    <row r="422" spans="1:23" s="210" customFormat="1" ht="14.85" customHeight="1" x14ac:dyDescent="0.2">
      <c r="A422" s="1634"/>
      <c r="B422" s="1635"/>
      <c r="C422" s="1699"/>
      <c r="D422" s="1694"/>
      <c r="E422" s="1695"/>
      <c r="F422" s="1619"/>
      <c r="G422" s="130" t="s">
        <v>59</v>
      </c>
      <c r="H422" s="144">
        <f>+H423+H424</f>
        <v>0</v>
      </c>
      <c r="I422" s="145">
        <f t="shared" ref="I422:K422" si="113">+I423+I424</f>
        <v>0</v>
      </c>
      <c r="J422" s="145">
        <f t="shared" si="113"/>
        <v>0</v>
      </c>
      <c r="K422" s="165">
        <f t="shared" si="113"/>
        <v>0</v>
      </c>
      <c r="L422" s="144">
        <f>+L423+L424</f>
        <v>0</v>
      </c>
      <c r="M422" s="145">
        <f t="shared" ref="M422:Q422" si="114">+M423+M424</f>
        <v>0</v>
      </c>
      <c r="N422" s="145">
        <f t="shared" si="114"/>
        <v>0</v>
      </c>
      <c r="O422" s="146">
        <f t="shared" si="114"/>
        <v>0</v>
      </c>
      <c r="P422" s="147">
        <f t="shared" si="114"/>
        <v>9.8000000000000007</v>
      </c>
      <c r="Q422" s="188">
        <f t="shared" si="114"/>
        <v>9.8000000000000007</v>
      </c>
      <c r="R422" s="1698"/>
      <c r="S422" s="1687"/>
      <c r="T422" s="1687"/>
      <c r="U422" s="1693"/>
    </row>
    <row r="423" spans="1:23" s="210" customFormat="1" ht="14.85" customHeight="1" x14ac:dyDescent="0.2">
      <c r="A423" s="1634"/>
      <c r="B423" s="1635"/>
      <c r="C423" s="1699"/>
      <c r="D423" s="1694"/>
      <c r="E423" s="1695"/>
      <c r="F423" s="1619"/>
      <c r="G423" s="131" t="s">
        <v>130</v>
      </c>
      <c r="H423" s="148"/>
      <c r="I423" s="139"/>
      <c r="J423" s="139"/>
      <c r="K423" s="140"/>
      <c r="L423" s="148"/>
      <c r="M423" s="139"/>
      <c r="N423" s="139"/>
      <c r="O423" s="149"/>
      <c r="P423" s="150"/>
      <c r="Q423" s="189"/>
      <c r="R423" s="1698"/>
      <c r="S423" s="1687"/>
      <c r="T423" s="1687"/>
      <c r="U423" s="1693"/>
    </row>
    <row r="424" spans="1:23" s="210" customFormat="1" ht="14.85" customHeight="1" x14ac:dyDescent="0.2">
      <c r="A424" s="1634"/>
      <c r="B424" s="1635"/>
      <c r="C424" s="1699"/>
      <c r="D424" s="1694"/>
      <c r="E424" s="1695"/>
      <c r="F424" s="1619"/>
      <c r="G424" s="131" t="s">
        <v>71</v>
      </c>
      <c r="H424" s="148"/>
      <c r="I424" s="139"/>
      <c r="J424" s="139"/>
      <c r="K424" s="140"/>
      <c r="L424" s="148"/>
      <c r="M424" s="139"/>
      <c r="N424" s="139"/>
      <c r="O424" s="149"/>
      <c r="P424" s="150">
        <f>ROUND(9774.67/1000,1)</f>
        <v>9.8000000000000007</v>
      </c>
      <c r="Q424" s="189">
        <f>ROUND(9774.68/1000,1)</f>
        <v>9.8000000000000007</v>
      </c>
      <c r="R424" s="1698"/>
      <c r="S424" s="1687"/>
      <c r="T424" s="1687"/>
      <c r="U424" s="1693"/>
    </row>
    <row r="425" spans="1:23" s="210" customFormat="1" ht="14.85" customHeight="1" x14ac:dyDescent="0.2">
      <c r="A425" s="1634"/>
      <c r="B425" s="1635"/>
      <c r="C425" s="1699"/>
      <c r="D425" s="1694"/>
      <c r="E425" s="1695"/>
      <c r="F425" s="1619"/>
      <c r="G425" s="129" t="s">
        <v>36</v>
      </c>
      <c r="H425" s="148"/>
      <c r="I425" s="139"/>
      <c r="J425" s="139"/>
      <c r="K425" s="140"/>
      <c r="L425" s="148"/>
      <c r="M425" s="139"/>
      <c r="N425" s="139"/>
      <c r="O425" s="149"/>
      <c r="P425" s="150"/>
      <c r="Q425" s="158"/>
      <c r="R425" s="1698"/>
      <c r="S425" s="1687"/>
      <c r="T425" s="1687"/>
      <c r="U425" s="1693"/>
    </row>
    <row r="426" spans="1:23" s="210" customFormat="1" ht="14.85" customHeight="1" x14ac:dyDescent="0.2">
      <c r="A426" s="1634"/>
      <c r="B426" s="1635"/>
      <c r="C426" s="1699"/>
      <c r="D426" s="1694"/>
      <c r="E426" s="1695"/>
      <c r="F426" s="1619"/>
      <c r="G426" s="129" t="s">
        <v>72</v>
      </c>
      <c r="H426" s="148"/>
      <c r="I426" s="139"/>
      <c r="J426" s="139"/>
      <c r="K426" s="140"/>
      <c r="L426" s="148"/>
      <c r="M426" s="139"/>
      <c r="N426" s="139"/>
      <c r="O426" s="149"/>
      <c r="P426" s="150">
        <f>ROUND(9774.67/1000,1)</f>
        <v>9.8000000000000007</v>
      </c>
      <c r="Q426" s="158">
        <f>ROUND(9774.68/1000,1)</f>
        <v>9.8000000000000007</v>
      </c>
      <c r="R426" s="1698"/>
      <c r="S426" s="1687"/>
      <c r="T426" s="1687"/>
      <c r="U426" s="1693"/>
    </row>
    <row r="427" spans="1:23" s="210" customFormat="1" ht="15.75" customHeight="1" x14ac:dyDescent="0.2">
      <c r="A427" s="1634"/>
      <c r="B427" s="1635"/>
      <c r="C427" s="1699"/>
      <c r="D427" s="1694"/>
      <c r="E427" s="1695"/>
      <c r="F427" s="1619"/>
      <c r="G427" s="132" t="s">
        <v>13</v>
      </c>
      <c r="H427" s="166">
        <f>+H420+H421+H422+H425+H426</f>
        <v>0</v>
      </c>
      <c r="I427" s="167">
        <f t="shared" ref="I427:Q427" si="115">+I420+I421+I422+I425+I426</f>
        <v>0</v>
      </c>
      <c r="J427" s="167">
        <f t="shared" si="115"/>
        <v>0</v>
      </c>
      <c r="K427" s="168">
        <f t="shared" si="115"/>
        <v>0</v>
      </c>
      <c r="L427" s="166">
        <f t="shared" si="115"/>
        <v>0</v>
      </c>
      <c r="M427" s="167">
        <f t="shared" si="115"/>
        <v>0</v>
      </c>
      <c r="N427" s="167">
        <f t="shared" si="115"/>
        <v>0</v>
      </c>
      <c r="O427" s="169">
        <f t="shared" si="115"/>
        <v>0</v>
      </c>
      <c r="P427" s="170">
        <f t="shared" si="115"/>
        <v>130.4</v>
      </c>
      <c r="Q427" s="190">
        <f t="shared" si="115"/>
        <v>130.4</v>
      </c>
      <c r="R427" s="1698"/>
      <c r="S427" s="26"/>
      <c r="T427" s="26"/>
      <c r="U427" s="31"/>
    </row>
    <row r="428" spans="1:23" s="210" customFormat="1" ht="15" customHeight="1" x14ac:dyDescent="0.2">
      <c r="A428" s="1634" t="s">
        <v>17</v>
      </c>
      <c r="B428" s="1635" t="s">
        <v>20</v>
      </c>
      <c r="C428" s="1636">
        <v>6</v>
      </c>
      <c r="D428" s="1694" t="s">
        <v>101</v>
      </c>
      <c r="E428" s="1695" t="s">
        <v>58</v>
      </c>
      <c r="F428" s="1619">
        <v>1</v>
      </c>
      <c r="G428" s="216" t="s">
        <v>30</v>
      </c>
      <c r="H428" s="148"/>
      <c r="I428" s="139"/>
      <c r="J428" s="139"/>
      <c r="K428" s="140"/>
      <c r="L428" s="148"/>
      <c r="M428" s="139"/>
      <c r="N428" s="139"/>
      <c r="O428" s="149"/>
      <c r="P428" s="150">
        <f>ROUND(6070/1000,1)</f>
        <v>6.1</v>
      </c>
      <c r="Q428" s="158">
        <f>ROUND(18212/1000,1)</f>
        <v>18.2</v>
      </c>
      <c r="R428" s="1698" t="s">
        <v>183</v>
      </c>
      <c r="S428" s="1687"/>
      <c r="T428" s="1687"/>
      <c r="U428" s="1693"/>
    </row>
    <row r="429" spans="1:23" s="210" customFormat="1" ht="15" customHeight="1" x14ac:dyDescent="0.2">
      <c r="A429" s="1634"/>
      <c r="B429" s="1635"/>
      <c r="C429" s="1636"/>
      <c r="D429" s="1694"/>
      <c r="E429" s="1695"/>
      <c r="F429" s="1619"/>
      <c r="G429" s="129" t="s">
        <v>73</v>
      </c>
      <c r="H429" s="148"/>
      <c r="I429" s="139"/>
      <c r="J429" s="139"/>
      <c r="K429" s="140"/>
      <c r="L429" s="148"/>
      <c r="M429" s="139"/>
      <c r="N429" s="139"/>
      <c r="O429" s="149"/>
      <c r="P429" s="150"/>
      <c r="Q429" s="158"/>
      <c r="R429" s="1698"/>
      <c r="S429" s="1687"/>
      <c r="T429" s="1687"/>
      <c r="U429" s="1693"/>
    </row>
    <row r="430" spans="1:23" s="210" customFormat="1" ht="15" customHeight="1" x14ac:dyDescent="0.2">
      <c r="A430" s="1634"/>
      <c r="B430" s="1635"/>
      <c r="C430" s="1636"/>
      <c r="D430" s="1694"/>
      <c r="E430" s="1695"/>
      <c r="F430" s="1619"/>
      <c r="G430" s="130" t="s">
        <v>59</v>
      </c>
      <c r="H430" s="144"/>
      <c r="I430" s="145"/>
      <c r="J430" s="145"/>
      <c r="K430" s="165"/>
      <c r="L430" s="144">
        <f>+L431+L432</f>
        <v>0</v>
      </c>
      <c r="M430" s="145">
        <f t="shared" ref="M430:Q430" si="116">+M431+M432</f>
        <v>0</v>
      </c>
      <c r="N430" s="145">
        <f t="shared" si="116"/>
        <v>0</v>
      </c>
      <c r="O430" s="146">
        <f t="shared" si="116"/>
        <v>0</v>
      </c>
      <c r="P430" s="147">
        <f t="shared" si="116"/>
        <v>0</v>
      </c>
      <c r="Q430" s="188">
        <f t="shared" si="116"/>
        <v>0</v>
      </c>
      <c r="R430" s="1698"/>
      <c r="S430" s="1687"/>
      <c r="T430" s="1687"/>
      <c r="U430" s="1693"/>
    </row>
    <row r="431" spans="1:23" ht="15" customHeight="1" x14ac:dyDescent="0.2">
      <c r="A431" s="1634"/>
      <c r="B431" s="1635"/>
      <c r="C431" s="1636"/>
      <c r="D431" s="1694"/>
      <c r="E431" s="1695"/>
      <c r="F431" s="1619"/>
      <c r="G431" s="131" t="s">
        <v>130</v>
      </c>
      <c r="H431" s="148"/>
      <c r="I431" s="139"/>
      <c r="J431" s="139"/>
      <c r="K431" s="140"/>
      <c r="L431" s="148"/>
      <c r="M431" s="139"/>
      <c r="N431" s="139"/>
      <c r="O431" s="149"/>
      <c r="P431" s="150"/>
      <c r="Q431" s="189"/>
      <c r="R431" s="1698"/>
      <c r="S431" s="1687"/>
      <c r="T431" s="1687"/>
      <c r="U431" s="1693"/>
    </row>
    <row r="432" spans="1:23" ht="15" customHeight="1" x14ac:dyDescent="0.2">
      <c r="A432" s="1634"/>
      <c r="B432" s="1635"/>
      <c r="C432" s="1636"/>
      <c r="D432" s="1694"/>
      <c r="E432" s="1695"/>
      <c r="F432" s="1619"/>
      <c r="G432" s="131" t="s">
        <v>71</v>
      </c>
      <c r="H432" s="148"/>
      <c r="I432" s="139"/>
      <c r="J432" s="139"/>
      <c r="K432" s="140"/>
      <c r="L432" s="148"/>
      <c r="M432" s="139"/>
      <c r="N432" s="139"/>
      <c r="O432" s="149"/>
      <c r="P432" s="150"/>
      <c r="Q432" s="189"/>
      <c r="R432" s="1698"/>
      <c r="S432" s="1687"/>
      <c r="T432" s="1687"/>
      <c r="U432" s="1693"/>
    </row>
    <row r="433" spans="1:24" ht="15" customHeight="1" x14ac:dyDescent="0.2">
      <c r="A433" s="1634"/>
      <c r="B433" s="1635"/>
      <c r="C433" s="1636"/>
      <c r="D433" s="1694"/>
      <c r="E433" s="1695"/>
      <c r="F433" s="1619"/>
      <c r="G433" s="129" t="s">
        <v>36</v>
      </c>
      <c r="H433" s="148"/>
      <c r="I433" s="139"/>
      <c r="J433" s="139"/>
      <c r="K433" s="140"/>
      <c r="L433" s="148"/>
      <c r="M433" s="139"/>
      <c r="N433" s="139"/>
      <c r="O433" s="149"/>
      <c r="P433" s="150"/>
      <c r="Q433" s="158"/>
      <c r="R433" s="1698"/>
      <c r="S433" s="1687"/>
      <c r="T433" s="1687"/>
      <c r="U433" s="1693"/>
    </row>
    <row r="434" spans="1:24" ht="15" customHeight="1" x14ac:dyDescent="0.2">
      <c r="A434" s="1634"/>
      <c r="B434" s="1635"/>
      <c r="C434" s="1636"/>
      <c r="D434" s="1694"/>
      <c r="E434" s="1695"/>
      <c r="F434" s="1619"/>
      <c r="G434" s="129" t="s">
        <v>72</v>
      </c>
      <c r="H434" s="148"/>
      <c r="I434" s="139"/>
      <c r="J434" s="139"/>
      <c r="K434" s="140"/>
      <c r="L434" s="148"/>
      <c r="M434" s="139"/>
      <c r="N434" s="139"/>
      <c r="O434" s="149"/>
      <c r="P434" s="150">
        <f>ROUND(38089/1000,1)</f>
        <v>38.1</v>
      </c>
      <c r="Q434" s="158">
        <f>ROUND(114268/1000,1)</f>
        <v>114.3</v>
      </c>
      <c r="R434" s="1698"/>
      <c r="S434" s="1687"/>
      <c r="T434" s="1687"/>
      <c r="U434" s="1693"/>
    </row>
    <row r="435" spans="1:24" ht="15" customHeight="1" x14ac:dyDescent="0.2">
      <c r="A435" s="1634"/>
      <c r="B435" s="1635"/>
      <c r="C435" s="1636"/>
      <c r="D435" s="1694"/>
      <c r="E435" s="1695"/>
      <c r="F435" s="1619"/>
      <c r="G435" s="132" t="s">
        <v>13</v>
      </c>
      <c r="H435" s="166">
        <f>+H428+H429+H430+H433+H434</f>
        <v>0</v>
      </c>
      <c r="I435" s="167">
        <f t="shared" ref="I435:Q435" si="117">+I428+I429+I430+I433+I434</f>
        <v>0</v>
      </c>
      <c r="J435" s="167">
        <f t="shared" si="117"/>
        <v>0</v>
      </c>
      <c r="K435" s="168">
        <f t="shared" si="117"/>
        <v>0</v>
      </c>
      <c r="L435" s="166">
        <f t="shared" si="117"/>
        <v>0</v>
      </c>
      <c r="M435" s="167">
        <f t="shared" si="117"/>
        <v>0</v>
      </c>
      <c r="N435" s="167">
        <f t="shared" si="117"/>
        <v>0</v>
      </c>
      <c r="O435" s="169">
        <f t="shared" si="117"/>
        <v>0</v>
      </c>
      <c r="P435" s="170">
        <f t="shared" si="117"/>
        <v>44.2</v>
      </c>
      <c r="Q435" s="190">
        <f t="shared" si="117"/>
        <v>132.5</v>
      </c>
      <c r="R435" s="1698"/>
      <c r="S435" s="26"/>
      <c r="T435" s="26"/>
      <c r="U435" s="31"/>
    </row>
    <row r="436" spans="1:24" ht="15" customHeight="1" x14ac:dyDescent="0.2">
      <c r="A436" s="1634" t="s">
        <v>17</v>
      </c>
      <c r="B436" s="1635" t="s">
        <v>20</v>
      </c>
      <c r="C436" s="1636">
        <v>7</v>
      </c>
      <c r="D436" s="1694" t="s">
        <v>142</v>
      </c>
      <c r="E436" s="1695" t="s">
        <v>58</v>
      </c>
      <c r="F436" s="1619">
        <v>1</v>
      </c>
      <c r="G436" s="216" t="s">
        <v>30</v>
      </c>
      <c r="H436" s="148"/>
      <c r="I436" s="139"/>
      <c r="J436" s="139"/>
      <c r="K436" s="140"/>
      <c r="L436" s="148"/>
      <c r="M436" s="139"/>
      <c r="N436" s="139"/>
      <c r="O436" s="149"/>
      <c r="P436" s="150"/>
      <c r="Q436" s="21"/>
      <c r="R436" s="1641" t="s">
        <v>53</v>
      </c>
      <c r="S436" s="1687"/>
      <c r="T436" s="1687"/>
      <c r="U436" s="1693"/>
    </row>
    <row r="437" spans="1:24" ht="15" customHeight="1" x14ac:dyDescent="0.2">
      <c r="A437" s="1634"/>
      <c r="B437" s="1635"/>
      <c r="C437" s="1636"/>
      <c r="D437" s="1694"/>
      <c r="E437" s="1695"/>
      <c r="F437" s="1619"/>
      <c r="G437" s="129" t="s">
        <v>73</v>
      </c>
      <c r="H437" s="148"/>
      <c r="I437" s="139"/>
      <c r="J437" s="139"/>
      <c r="K437" s="140"/>
      <c r="L437" s="148"/>
      <c r="M437" s="139"/>
      <c r="N437" s="139"/>
      <c r="O437" s="149"/>
      <c r="P437" s="150"/>
      <c r="Q437" s="21"/>
      <c r="R437" s="1641"/>
      <c r="S437" s="1687"/>
      <c r="T437" s="1687"/>
      <c r="U437" s="1693"/>
    </row>
    <row r="438" spans="1:24" ht="15" customHeight="1" x14ac:dyDescent="0.2">
      <c r="A438" s="1634"/>
      <c r="B438" s="1635"/>
      <c r="C438" s="1636"/>
      <c r="D438" s="1694"/>
      <c r="E438" s="1695"/>
      <c r="F438" s="1619"/>
      <c r="G438" s="130" t="s">
        <v>59</v>
      </c>
      <c r="H438" s="144"/>
      <c r="I438" s="145"/>
      <c r="J438" s="145"/>
      <c r="K438" s="165"/>
      <c r="L438" s="144">
        <f>+L439+L440</f>
        <v>0</v>
      </c>
      <c r="M438" s="145">
        <f t="shared" ref="M438:Q438" si="118">+M439+M440</f>
        <v>0</v>
      </c>
      <c r="N438" s="145">
        <f t="shared" si="118"/>
        <v>0</v>
      </c>
      <c r="O438" s="146">
        <f t="shared" si="118"/>
        <v>0</v>
      </c>
      <c r="P438" s="147">
        <f t="shared" si="118"/>
        <v>0</v>
      </c>
      <c r="Q438" s="37">
        <f t="shared" si="118"/>
        <v>0</v>
      </c>
      <c r="R438" s="1641"/>
      <c r="S438" s="1687"/>
      <c r="T438" s="1687"/>
      <c r="U438" s="1693"/>
    </row>
    <row r="439" spans="1:24" ht="15" customHeight="1" x14ac:dyDescent="0.2">
      <c r="A439" s="1634"/>
      <c r="B439" s="1635"/>
      <c r="C439" s="1636"/>
      <c r="D439" s="1694"/>
      <c r="E439" s="1695"/>
      <c r="F439" s="1619"/>
      <c r="G439" s="131" t="s">
        <v>130</v>
      </c>
      <c r="H439" s="148"/>
      <c r="I439" s="139"/>
      <c r="J439" s="139"/>
      <c r="K439" s="140"/>
      <c r="L439" s="148"/>
      <c r="M439" s="139"/>
      <c r="N439" s="139"/>
      <c r="O439" s="149"/>
      <c r="P439" s="150"/>
      <c r="Q439" s="128"/>
      <c r="R439" s="1641"/>
      <c r="S439" s="1687"/>
      <c r="T439" s="1687"/>
      <c r="U439" s="1693"/>
    </row>
    <row r="440" spans="1:24" ht="15" customHeight="1" x14ac:dyDescent="0.2">
      <c r="A440" s="1634"/>
      <c r="B440" s="1635"/>
      <c r="C440" s="1636"/>
      <c r="D440" s="1694"/>
      <c r="E440" s="1695"/>
      <c r="F440" s="1619"/>
      <c r="G440" s="131" t="s">
        <v>71</v>
      </c>
      <c r="H440" s="148"/>
      <c r="I440" s="139"/>
      <c r="J440" s="139"/>
      <c r="K440" s="140"/>
      <c r="L440" s="148"/>
      <c r="M440" s="139"/>
      <c r="N440" s="139"/>
      <c r="O440" s="149"/>
      <c r="P440" s="150"/>
      <c r="Q440" s="128"/>
      <c r="R440" s="1641"/>
      <c r="S440" s="1687"/>
      <c r="T440" s="1687"/>
      <c r="U440" s="1693"/>
    </row>
    <row r="441" spans="1:24" ht="15" customHeight="1" x14ac:dyDescent="0.2">
      <c r="A441" s="1634"/>
      <c r="B441" s="1635"/>
      <c r="C441" s="1636"/>
      <c r="D441" s="1694"/>
      <c r="E441" s="1695"/>
      <c r="F441" s="1619"/>
      <c r="G441" s="129" t="s">
        <v>36</v>
      </c>
      <c r="H441" s="148"/>
      <c r="I441" s="139"/>
      <c r="J441" s="139"/>
      <c r="K441" s="140"/>
      <c r="L441" s="148"/>
      <c r="M441" s="139"/>
      <c r="N441" s="139"/>
      <c r="O441" s="149"/>
      <c r="P441" s="150"/>
      <c r="Q441" s="21"/>
      <c r="R441" s="1641"/>
      <c r="S441" s="1687"/>
      <c r="T441" s="1687"/>
      <c r="U441" s="1693"/>
    </row>
    <row r="442" spans="1:24" ht="15" customHeight="1" x14ac:dyDescent="0.2">
      <c r="A442" s="1634"/>
      <c r="B442" s="1635"/>
      <c r="C442" s="1636"/>
      <c r="D442" s="1694"/>
      <c r="E442" s="1695"/>
      <c r="F442" s="1619"/>
      <c r="G442" s="129" t="s">
        <v>72</v>
      </c>
      <c r="H442" s="148"/>
      <c r="I442" s="139"/>
      <c r="J442" s="139"/>
      <c r="K442" s="140"/>
      <c r="L442" s="171"/>
      <c r="M442" s="172"/>
      <c r="N442" s="172"/>
      <c r="O442" s="173"/>
      <c r="P442" s="150"/>
      <c r="Q442" s="21"/>
      <c r="R442" s="1641"/>
      <c r="S442" s="1687"/>
      <c r="T442" s="1687"/>
      <c r="U442" s="1693"/>
    </row>
    <row r="443" spans="1:24" ht="15" customHeight="1" x14ac:dyDescent="0.2">
      <c r="A443" s="1634"/>
      <c r="B443" s="1635"/>
      <c r="C443" s="1636"/>
      <c r="D443" s="1694"/>
      <c r="E443" s="1695"/>
      <c r="F443" s="1619"/>
      <c r="G443" s="132" t="s">
        <v>13</v>
      </c>
      <c r="H443" s="166">
        <f>+H436+H437+H438+H441+H442</f>
        <v>0</v>
      </c>
      <c r="I443" s="167">
        <f t="shared" ref="I443:Q443" si="119">+I436+I437+I438+I441+I442</f>
        <v>0</v>
      </c>
      <c r="J443" s="167">
        <f t="shared" si="119"/>
        <v>0</v>
      </c>
      <c r="K443" s="168">
        <f t="shared" si="119"/>
        <v>0</v>
      </c>
      <c r="L443" s="166">
        <f t="shared" si="119"/>
        <v>0</v>
      </c>
      <c r="M443" s="167">
        <f t="shared" si="119"/>
        <v>0</v>
      </c>
      <c r="N443" s="167">
        <f t="shared" si="119"/>
        <v>0</v>
      </c>
      <c r="O443" s="169">
        <f t="shared" si="119"/>
        <v>0</v>
      </c>
      <c r="P443" s="170">
        <f t="shared" si="119"/>
        <v>0</v>
      </c>
      <c r="Q443" s="25">
        <f t="shared" si="119"/>
        <v>0</v>
      </c>
      <c r="R443" s="1641"/>
      <c r="S443" s="26"/>
      <c r="T443" s="26"/>
      <c r="U443" s="31"/>
    </row>
    <row r="444" spans="1:24" ht="15" customHeight="1" x14ac:dyDescent="0.2">
      <c r="A444" s="1634" t="s">
        <v>17</v>
      </c>
      <c r="B444" s="1635" t="s">
        <v>20</v>
      </c>
      <c r="C444" s="1636">
        <v>9</v>
      </c>
      <c r="D444" s="1696" t="s">
        <v>128</v>
      </c>
      <c r="E444" s="1695" t="s">
        <v>58</v>
      </c>
      <c r="F444" s="1619">
        <v>1</v>
      </c>
      <c r="G444" s="216" t="s">
        <v>30</v>
      </c>
      <c r="H444" s="148"/>
      <c r="I444" s="139"/>
      <c r="J444" s="139"/>
      <c r="K444" s="140"/>
      <c r="L444" s="148"/>
      <c r="M444" s="139"/>
      <c r="N444" s="139"/>
      <c r="O444" s="149"/>
      <c r="P444" s="150"/>
      <c r="Q444" s="21"/>
      <c r="R444" s="1641" t="s">
        <v>53</v>
      </c>
      <c r="S444" s="1687"/>
      <c r="T444" s="1687"/>
      <c r="U444" s="1640" t="s">
        <v>595</v>
      </c>
    </row>
    <row r="445" spans="1:24" ht="15" customHeight="1" x14ac:dyDescent="0.2">
      <c r="A445" s="1634"/>
      <c r="B445" s="1635"/>
      <c r="C445" s="1636"/>
      <c r="D445" s="1696"/>
      <c r="E445" s="1695"/>
      <c r="F445" s="1619"/>
      <c r="G445" s="129" t="s">
        <v>73</v>
      </c>
      <c r="H445" s="148"/>
      <c r="I445" s="139"/>
      <c r="J445" s="139"/>
      <c r="K445" s="140"/>
      <c r="L445" s="148"/>
      <c r="M445" s="139"/>
      <c r="N445" s="139"/>
      <c r="O445" s="149"/>
      <c r="P445" s="150"/>
      <c r="Q445" s="21"/>
      <c r="R445" s="1641"/>
      <c r="S445" s="1687"/>
      <c r="T445" s="1687"/>
      <c r="U445" s="1640"/>
    </row>
    <row r="446" spans="1:24" ht="15" customHeight="1" x14ac:dyDescent="0.2">
      <c r="A446" s="1634"/>
      <c r="B446" s="1635"/>
      <c r="C446" s="1636"/>
      <c r="D446" s="1696"/>
      <c r="E446" s="1695"/>
      <c r="F446" s="1619"/>
      <c r="G446" s="130" t="s">
        <v>59</v>
      </c>
      <c r="H446" s="144"/>
      <c r="I446" s="145"/>
      <c r="J446" s="145"/>
      <c r="K446" s="165"/>
      <c r="L446" s="144">
        <f>+L447+L448</f>
        <v>0</v>
      </c>
      <c r="M446" s="145">
        <f t="shared" ref="M446:Q446" si="120">+M447+M448</f>
        <v>0</v>
      </c>
      <c r="N446" s="145">
        <f t="shared" si="120"/>
        <v>0</v>
      </c>
      <c r="O446" s="146">
        <f t="shared" si="120"/>
        <v>0</v>
      </c>
      <c r="P446" s="147">
        <f t="shared" si="120"/>
        <v>0</v>
      </c>
      <c r="Q446" s="37">
        <f t="shared" si="120"/>
        <v>0</v>
      </c>
      <c r="R446" s="1641"/>
      <c r="S446" s="1687"/>
      <c r="T446" s="1687"/>
      <c r="U446" s="1640"/>
      <c r="V446" s="1688"/>
      <c r="W446" s="1689"/>
      <c r="X446" s="1689"/>
    </row>
    <row r="447" spans="1:24" ht="15" customHeight="1" x14ac:dyDescent="0.2">
      <c r="A447" s="1634"/>
      <c r="B447" s="1635"/>
      <c r="C447" s="1636"/>
      <c r="D447" s="1696"/>
      <c r="E447" s="1695"/>
      <c r="F447" s="1619"/>
      <c r="G447" s="131" t="s">
        <v>130</v>
      </c>
      <c r="H447" s="148"/>
      <c r="I447" s="139"/>
      <c r="J447" s="139"/>
      <c r="K447" s="140"/>
      <c r="L447" s="148"/>
      <c r="M447" s="139"/>
      <c r="N447" s="139"/>
      <c r="O447" s="149"/>
      <c r="P447" s="150"/>
      <c r="Q447" s="128"/>
      <c r="R447" s="1641"/>
      <c r="S447" s="1687"/>
      <c r="T447" s="1687"/>
      <c r="U447" s="1640"/>
    </row>
    <row r="448" spans="1:24" ht="15" customHeight="1" x14ac:dyDescent="0.2">
      <c r="A448" s="1634"/>
      <c r="B448" s="1635"/>
      <c r="C448" s="1636"/>
      <c r="D448" s="1696"/>
      <c r="E448" s="1695"/>
      <c r="F448" s="1619"/>
      <c r="G448" s="131" t="s">
        <v>71</v>
      </c>
      <c r="H448" s="126"/>
      <c r="I448" s="124"/>
      <c r="J448" s="124"/>
      <c r="K448" s="125"/>
      <c r="L448" s="126"/>
      <c r="M448" s="124"/>
      <c r="N448" s="124"/>
      <c r="O448" s="122"/>
      <c r="P448" s="127"/>
      <c r="Q448" s="128"/>
      <c r="R448" s="1641"/>
      <c r="S448" s="1687"/>
      <c r="T448" s="1687"/>
      <c r="U448" s="1640"/>
    </row>
    <row r="449" spans="1:27" ht="15" customHeight="1" x14ac:dyDescent="0.2">
      <c r="A449" s="1634"/>
      <c r="B449" s="1635"/>
      <c r="C449" s="1636"/>
      <c r="D449" s="1696"/>
      <c r="E449" s="1695"/>
      <c r="F449" s="1619"/>
      <c r="G449" s="129" t="s">
        <v>36</v>
      </c>
      <c r="H449" s="49"/>
      <c r="I449" s="215"/>
      <c r="J449" s="215"/>
      <c r="K449" s="216"/>
      <c r="L449" s="49"/>
      <c r="M449" s="215"/>
      <c r="N449" s="215"/>
      <c r="O449" s="23"/>
      <c r="P449" s="14"/>
      <c r="Q449" s="21"/>
      <c r="R449" s="1641"/>
      <c r="S449" s="1687"/>
      <c r="T449" s="1687"/>
      <c r="U449" s="1640"/>
    </row>
    <row r="450" spans="1:27" ht="15" customHeight="1" x14ac:dyDescent="0.2">
      <c r="A450" s="1634"/>
      <c r="B450" s="1635"/>
      <c r="C450" s="1636"/>
      <c r="D450" s="1696"/>
      <c r="E450" s="1695"/>
      <c r="F450" s="1619"/>
      <c r="G450" s="129" t="s">
        <v>72</v>
      </c>
      <c r="H450" s="49"/>
      <c r="I450" s="215"/>
      <c r="J450" s="215"/>
      <c r="K450" s="216"/>
      <c r="L450" s="63"/>
      <c r="M450" s="220"/>
      <c r="N450" s="220"/>
      <c r="O450" s="69"/>
      <c r="P450" s="14"/>
      <c r="Q450" s="21"/>
      <c r="R450" s="1641"/>
      <c r="S450" s="1687"/>
      <c r="T450" s="1687"/>
      <c r="U450" s="1640"/>
    </row>
    <row r="451" spans="1:27" ht="15" customHeight="1" x14ac:dyDescent="0.2">
      <c r="A451" s="1634"/>
      <c r="B451" s="1635"/>
      <c r="C451" s="1636"/>
      <c r="D451" s="1696"/>
      <c r="E451" s="1695"/>
      <c r="F451" s="1619"/>
      <c r="G451" s="132" t="s">
        <v>13</v>
      </c>
      <c r="H451" s="27">
        <f>+H444+H445+H446+H449+H450</f>
        <v>0</v>
      </c>
      <c r="I451" s="26">
        <f t="shared" ref="I451:Q451" si="121">+I444+I445+I446+I449+I450</f>
        <v>0</v>
      </c>
      <c r="J451" s="26">
        <f t="shared" si="121"/>
        <v>0</v>
      </c>
      <c r="K451" s="31">
        <f t="shared" si="121"/>
        <v>0</v>
      </c>
      <c r="L451" s="27">
        <f t="shared" si="121"/>
        <v>0</v>
      </c>
      <c r="M451" s="26">
        <f t="shared" si="121"/>
        <v>0</v>
      </c>
      <c r="N451" s="26">
        <f t="shared" si="121"/>
        <v>0</v>
      </c>
      <c r="O451" s="30">
        <f t="shared" si="121"/>
        <v>0</v>
      </c>
      <c r="P451" s="32">
        <f t="shared" si="121"/>
        <v>0</v>
      </c>
      <c r="Q451" s="25">
        <f t="shared" si="121"/>
        <v>0</v>
      </c>
      <c r="R451" s="1641"/>
      <c r="S451" s="26">
        <f>SUM(S444)</f>
        <v>0</v>
      </c>
      <c r="T451" s="26">
        <f>SUM(T444)</f>
        <v>0</v>
      </c>
      <c r="U451" s="31"/>
    </row>
    <row r="452" spans="1:27" ht="15" customHeight="1" x14ac:dyDescent="0.2">
      <c r="A452" s="1634" t="s">
        <v>17</v>
      </c>
      <c r="B452" s="1635" t="s">
        <v>20</v>
      </c>
      <c r="C452" s="1636">
        <v>10</v>
      </c>
      <c r="D452" s="1696" t="s">
        <v>129</v>
      </c>
      <c r="E452" s="1695" t="s">
        <v>58</v>
      </c>
      <c r="F452" s="1619">
        <v>1</v>
      </c>
      <c r="G452" s="216" t="s">
        <v>30</v>
      </c>
      <c r="H452" s="49"/>
      <c r="I452" s="215"/>
      <c r="J452" s="215"/>
      <c r="K452" s="216"/>
      <c r="L452" s="49"/>
      <c r="M452" s="215"/>
      <c r="N452" s="215"/>
      <c r="O452" s="23"/>
      <c r="P452" s="14"/>
      <c r="Q452" s="21"/>
      <c r="R452" s="1641" t="s">
        <v>53</v>
      </c>
      <c r="S452" s="1687"/>
      <c r="T452" s="1687"/>
      <c r="U452" s="1640" t="s">
        <v>208</v>
      </c>
    </row>
    <row r="453" spans="1:27" ht="15" customHeight="1" x14ac:dyDescent="0.2">
      <c r="A453" s="1634"/>
      <c r="B453" s="1635"/>
      <c r="C453" s="1636"/>
      <c r="D453" s="1696"/>
      <c r="E453" s="1695"/>
      <c r="F453" s="1619"/>
      <c r="G453" s="129" t="s">
        <v>73</v>
      </c>
      <c r="H453" s="49"/>
      <c r="I453" s="215"/>
      <c r="J453" s="215"/>
      <c r="K453" s="216"/>
      <c r="L453" s="49"/>
      <c r="M453" s="215"/>
      <c r="N453" s="215"/>
      <c r="O453" s="23"/>
      <c r="P453" s="14"/>
      <c r="Q453" s="21"/>
      <c r="R453" s="1641"/>
      <c r="S453" s="1687"/>
      <c r="T453" s="1687"/>
      <c r="U453" s="1640"/>
    </row>
    <row r="454" spans="1:27" ht="15" customHeight="1" x14ac:dyDescent="0.2">
      <c r="A454" s="1634"/>
      <c r="B454" s="1635"/>
      <c r="C454" s="1636"/>
      <c r="D454" s="1696"/>
      <c r="E454" s="1695"/>
      <c r="F454" s="1619"/>
      <c r="G454" s="130" t="s">
        <v>59</v>
      </c>
      <c r="H454" s="50"/>
      <c r="I454" s="17"/>
      <c r="J454" s="17"/>
      <c r="K454" s="19"/>
      <c r="L454" s="50">
        <f>+L455+L456</f>
        <v>0</v>
      </c>
      <c r="M454" s="17">
        <f t="shared" ref="M454:Q454" si="122">+M455+M456</f>
        <v>0</v>
      </c>
      <c r="N454" s="17">
        <f t="shared" si="122"/>
        <v>0</v>
      </c>
      <c r="O454" s="18">
        <f t="shared" si="122"/>
        <v>0</v>
      </c>
      <c r="P454" s="20">
        <f t="shared" si="122"/>
        <v>0</v>
      </c>
      <c r="Q454" s="37">
        <f t="shared" si="122"/>
        <v>0</v>
      </c>
      <c r="R454" s="1641"/>
      <c r="S454" s="1687"/>
      <c r="T454" s="1687"/>
      <c r="U454" s="1640"/>
    </row>
    <row r="455" spans="1:27" ht="15" customHeight="1" x14ac:dyDescent="0.2">
      <c r="A455" s="1634"/>
      <c r="B455" s="1635"/>
      <c r="C455" s="1636"/>
      <c r="D455" s="1696"/>
      <c r="E455" s="1695"/>
      <c r="F455" s="1619"/>
      <c r="G455" s="131" t="s">
        <v>130</v>
      </c>
      <c r="H455" s="126"/>
      <c r="I455" s="124"/>
      <c r="J455" s="124"/>
      <c r="K455" s="125"/>
      <c r="L455" s="126"/>
      <c r="M455" s="124"/>
      <c r="N455" s="124"/>
      <c r="O455" s="122"/>
      <c r="P455" s="127"/>
      <c r="Q455" s="128"/>
      <c r="R455" s="1641"/>
      <c r="S455" s="1687"/>
      <c r="T455" s="1687"/>
      <c r="U455" s="1640"/>
      <c r="V455" s="1688"/>
      <c r="W455" s="1689"/>
      <c r="X455" s="1689"/>
    </row>
    <row r="456" spans="1:27" ht="15" customHeight="1" x14ac:dyDescent="0.2">
      <c r="A456" s="1634"/>
      <c r="B456" s="1635"/>
      <c r="C456" s="1636"/>
      <c r="D456" s="1696"/>
      <c r="E456" s="1695"/>
      <c r="F456" s="1619"/>
      <c r="G456" s="131" t="s">
        <v>71</v>
      </c>
      <c r="H456" s="126"/>
      <c r="I456" s="124"/>
      <c r="J456" s="124"/>
      <c r="K456" s="125"/>
      <c r="L456" s="126"/>
      <c r="M456" s="124"/>
      <c r="N456" s="124"/>
      <c r="O456" s="122"/>
      <c r="P456" s="127"/>
      <c r="Q456" s="128"/>
      <c r="R456" s="1641"/>
      <c r="S456" s="1687"/>
      <c r="T456" s="1687"/>
      <c r="U456" s="1640"/>
    </row>
    <row r="457" spans="1:27" ht="15" customHeight="1" x14ac:dyDescent="0.2">
      <c r="A457" s="1634"/>
      <c r="B457" s="1635"/>
      <c r="C457" s="1636"/>
      <c r="D457" s="1696"/>
      <c r="E457" s="1695"/>
      <c r="F457" s="1619"/>
      <c r="G457" s="129" t="s">
        <v>36</v>
      </c>
      <c r="H457" s="49"/>
      <c r="I457" s="215"/>
      <c r="J457" s="215"/>
      <c r="K457" s="216"/>
      <c r="L457" s="49"/>
      <c r="M457" s="215"/>
      <c r="N457" s="215"/>
      <c r="O457" s="23"/>
      <c r="P457" s="14"/>
      <c r="Q457" s="21"/>
      <c r="R457" s="1641"/>
      <c r="S457" s="1687"/>
      <c r="T457" s="1687"/>
      <c r="U457" s="1640"/>
    </row>
    <row r="458" spans="1:27" ht="15" customHeight="1" x14ac:dyDescent="0.2">
      <c r="A458" s="1634"/>
      <c r="B458" s="1635"/>
      <c r="C458" s="1636"/>
      <c r="D458" s="1696"/>
      <c r="E458" s="1695"/>
      <c r="F458" s="1619"/>
      <c r="G458" s="129" t="s">
        <v>72</v>
      </c>
      <c r="H458" s="49"/>
      <c r="I458" s="215"/>
      <c r="J458" s="215"/>
      <c r="K458" s="216"/>
      <c r="L458" s="63"/>
      <c r="M458" s="220"/>
      <c r="N458" s="220"/>
      <c r="O458" s="69"/>
      <c r="P458" s="14"/>
      <c r="Q458" s="21"/>
      <c r="R458" s="1641"/>
      <c r="S458" s="1687"/>
      <c r="T458" s="1687"/>
      <c r="U458" s="1640"/>
    </row>
    <row r="459" spans="1:27" ht="16.5" customHeight="1" x14ac:dyDescent="0.2">
      <c r="A459" s="1634"/>
      <c r="B459" s="1635"/>
      <c r="C459" s="1636"/>
      <c r="D459" s="1696"/>
      <c r="E459" s="1695"/>
      <c r="F459" s="1619"/>
      <c r="G459" s="132" t="s">
        <v>13</v>
      </c>
      <c r="H459" s="27">
        <f>+H452+H453+H454+H457+H458</f>
        <v>0</v>
      </c>
      <c r="I459" s="26">
        <f t="shared" ref="I459:Q459" si="123">+I452+I453+I454+I457+I458</f>
        <v>0</v>
      </c>
      <c r="J459" s="26">
        <f t="shared" si="123"/>
        <v>0</v>
      </c>
      <c r="K459" s="31">
        <f t="shared" si="123"/>
        <v>0</v>
      </c>
      <c r="L459" s="27">
        <f t="shared" si="123"/>
        <v>0</v>
      </c>
      <c r="M459" s="26">
        <f t="shared" si="123"/>
        <v>0</v>
      </c>
      <c r="N459" s="26">
        <f t="shared" si="123"/>
        <v>0</v>
      </c>
      <c r="O459" s="30">
        <f t="shared" si="123"/>
        <v>0</v>
      </c>
      <c r="P459" s="32">
        <f t="shared" si="123"/>
        <v>0</v>
      </c>
      <c r="Q459" s="25">
        <f t="shared" si="123"/>
        <v>0</v>
      </c>
      <c r="R459" s="1641"/>
      <c r="S459" s="26">
        <f>SUM(S452)</f>
        <v>0</v>
      </c>
      <c r="T459" s="26">
        <f>SUM(T452)</f>
        <v>0</v>
      </c>
      <c r="U459" s="31"/>
    </row>
    <row r="460" spans="1:27" s="210" customFormat="1" ht="15" customHeight="1" x14ac:dyDescent="0.2">
      <c r="A460" s="1634" t="s">
        <v>17</v>
      </c>
      <c r="B460" s="1635" t="s">
        <v>20</v>
      </c>
      <c r="C460" s="1636">
        <v>11</v>
      </c>
      <c r="D460" s="1694" t="s">
        <v>160</v>
      </c>
      <c r="E460" s="1695" t="s">
        <v>58</v>
      </c>
      <c r="F460" s="1619">
        <v>1</v>
      </c>
      <c r="G460" s="216" t="s">
        <v>30</v>
      </c>
      <c r="H460" s="49"/>
      <c r="I460" s="215"/>
      <c r="J460" s="215"/>
      <c r="K460" s="216"/>
      <c r="L460" s="49"/>
      <c r="M460" s="215"/>
      <c r="N460" s="215"/>
      <c r="O460" s="23"/>
      <c r="P460" s="14">
        <v>13.8</v>
      </c>
      <c r="Q460" s="21">
        <v>27.57</v>
      </c>
      <c r="R460" s="1641" t="s">
        <v>161</v>
      </c>
      <c r="S460" s="1687"/>
      <c r="T460" s="1687"/>
      <c r="U460" s="1640" t="s">
        <v>209</v>
      </c>
    </row>
    <row r="461" spans="1:27" s="210" customFormat="1" ht="15" customHeight="1" x14ac:dyDescent="0.2">
      <c r="A461" s="1634"/>
      <c r="B461" s="1635"/>
      <c r="C461" s="1636"/>
      <c r="D461" s="1694"/>
      <c r="E461" s="1695"/>
      <c r="F461" s="1619"/>
      <c r="G461" s="129" t="s">
        <v>73</v>
      </c>
      <c r="H461" s="49"/>
      <c r="I461" s="215"/>
      <c r="J461" s="215"/>
      <c r="K461" s="216"/>
      <c r="L461" s="49"/>
      <c r="M461" s="215"/>
      <c r="N461" s="215"/>
      <c r="O461" s="23"/>
      <c r="P461" s="14"/>
      <c r="Q461" s="21"/>
      <c r="R461" s="1641"/>
      <c r="S461" s="1687"/>
      <c r="T461" s="1687"/>
      <c r="U461" s="1640"/>
    </row>
    <row r="462" spans="1:27" s="210" customFormat="1" ht="15" customHeight="1" x14ac:dyDescent="0.2">
      <c r="A462" s="1634"/>
      <c r="B462" s="1635"/>
      <c r="C462" s="1636"/>
      <c r="D462" s="1694"/>
      <c r="E462" s="1695"/>
      <c r="F462" s="1619"/>
      <c r="G462" s="130" t="s">
        <v>59</v>
      </c>
      <c r="H462" s="50">
        <f>+H463+H464</f>
        <v>3.7</v>
      </c>
      <c r="I462" s="17">
        <f t="shared" ref="I462:Q462" si="124">+I463+I464</f>
        <v>0</v>
      </c>
      <c r="J462" s="17">
        <f t="shared" si="124"/>
        <v>0</v>
      </c>
      <c r="K462" s="19">
        <f t="shared" si="124"/>
        <v>3.7</v>
      </c>
      <c r="L462" s="50">
        <f t="shared" si="124"/>
        <v>0</v>
      </c>
      <c r="M462" s="17">
        <f t="shared" si="124"/>
        <v>0</v>
      </c>
      <c r="N462" s="17">
        <f t="shared" si="124"/>
        <v>0</v>
      </c>
      <c r="O462" s="18">
        <f t="shared" si="124"/>
        <v>0</v>
      </c>
      <c r="P462" s="20">
        <f t="shared" si="124"/>
        <v>2.4</v>
      </c>
      <c r="Q462" s="37">
        <f t="shared" si="124"/>
        <v>4.9000000000000004</v>
      </c>
      <c r="R462" s="1641"/>
      <c r="S462" s="1687"/>
      <c r="T462" s="1687"/>
      <c r="U462" s="1640"/>
    </row>
    <row r="463" spans="1:27" ht="15" customHeight="1" x14ac:dyDescent="0.2">
      <c r="A463" s="1634"/>
      <c r="B463" s="1635"/>
      <c r="C463" s="1636"/>
      <c r="D463" s="1694"/>
      <c r="E463" s="1695"/>
      <c r="F463" s="1619"/>
      <c r="G463" s="131" t="s">
        <v>130</v>
      </c>
      <c r="H463" s="126"/>
      <c r="I463" s="124"/>
      <c r="J463" s="124"/>
      <c r="K463" s="125"/>
      <c r="L463" s="126"/>
      <c r="M463" s="124"/>
      <c r="N463" s="124"/>
      <c r="O463" s="122"/>
      <c r="P463" s="162">
        <v>2.4</v>
      </c>
      <c r="Q463" s="163">
        <v>4.9000000000000004</v>
      </c>
      <c r="R463" s="1641"/>
      <c r="S463" s="1687"/>
      <c r="T463" s="1687"/>
      <c r="U463" s="1640"/>
    </row>
    <row r="464" spans="1:27" ht="15" customHeight="1" x14ac:dyDescent="0.2">
      <c r="A464" s="1634"/>
      <c r="B464" s="1635"/>
      <c r="C464" s="1636"/>
      <c r="D464" s="1694"/>
      <c r="E464" s="1695"/>
      <c r="F464" s="1619"/>
      <c r="G464" s="131" t="s">
        <v>71</v>
      </c>
      <c r="H464" s="49">
        <v>3.7</v>
      </c>
      <c r="I464" s="215"/>
      <c r="J464" s="215"/>
      <c r="K464" s="216">
        <v>3.7</v>
      </c>
      <c r="L464" s="126"/>
      <c r="M464" s="124"/>
      <c r="N464" s="124"/>
      <c r="O464" s="122"/>
      <c r="P464" s="162"/>
      <c r="Q464" s="163"/>
      <c r="R464" s="1641"/>
      <c r="S464" s="1687"/>
      <c r="T464" s="1687"/>
      <c r="U464" s="1640"/>
      <c r="V464" s="1649"/>
      <c r="W464" s="1697"/>
      <c r="X464" s="1697"/>
      <c r="Y464" s="1697"/>
      <c r="Z464" s="1697"/>
      <c r="AA464" s="1697"/>
    </row>
    <row r="465" spans="1:26" ht="15" customHeight="1" x14ac:dyDescent="0.2">
      <c r="A465" s="1634"/>
      <c r="B465" s="1635"/>
      <c r="C465" s="1636"/>
      <c r="D465" s="1694"/>
      <c r="E465" s="1695"/>
      <c r="F465" s="1619"/>
      <c r="G465" s="129" t="s">
        <v>36</v>
      </c>
      <c r="H465" s="49"/>
      <c r="I465" s="215"/>
      <c r="J465" s="215"/>
      <c r="K465" s="216"/>
      <c r="L465" s="49"/>
      <c r="M465" s="215"/>
      <c r="N465" s="215"/>
      <c r="O465" s="23"/>
      <c r="P465" s="14"/>
      <c r="Q465" s="21"/>
      <c r="R465" s="1641"/>
      <c r="S465" s="1687"/>
      <c r="T465" s="1687"/>
      <c r="U465" s="1640"/>
    </row>
    <row r="466" spans="1:26" ht="15" customHeight="1" x14ac:dyDescent="0.2">
      <c r="A466" s="1634"/>
      <c r="B466" s="1635"/>
      <c r="C466" s="1636"/>
      <c r="D466" s="1694"/>
      <c r="E466" s="1695"/>
      <c r="F466" s="1619"/>
      <c r="G466" s="129" t="s">
        <v>72</v>
      </c>
      <c r="H466" s="49"/>
      <c r="I466" s="215"/>
      <c r="J466" s="215"/>
      <c r="K466" s="216"/>
      <c r="L466" s="49"/>
      <c r="M466" s="215"/>
      <c r="N466" s="215"/>
      <c r="O466" s="23"/>
      <c r="P466" s="14"/>
      <c r="Q466" s="21"/>
      <c r="R466" s="1641"/>
      <c r="S466" s="1687"/>
      <c r="T466" s="1687"/>
      <c r="U466" s="1640"/>
    </row>
    <row r="467" spans="1:26" ht="15" customHeight="1" x14ac:dyDescent="0.2">
      <c r="A467" s="1634"/>
      <c r="B467" s="1635"/>
      <c r="C467" s="1636"/>
      <c r="D467" s="1694"/>
      <c r="E467" s="1695"/>
      <c r="F467" s="1619"/>
      <c r="G467" s="132" t="s">
        <v>13</v>
      </c>
      <c r="H467" s="27">
        <f>+H460+H461+H462+H465+H466</f>
        <v>3.7</v>
      </c>
      <c r="I467" s="26">
        <f t="shared" ref="I467:Q467" si="125">+I460+I461+I462+I465+I466</f>
        <v>0</v>
      </c>
      <c r="J467" s="26">
        <f t="shared" si="125"/>
        <v>0</v>
      </c>
      <c r="K467" s="31">
        <f t="shared" si="125"/>
        <v>3.7</v>
      </c>
      <c r="L467" s="27">
        <f t="shared" si="125"/>
        <v>0</v>
      </c>
      <c r="M467" s="26">
        <f t="shared" si="125"/>
        <v>0</v>
      </c>
      <c r="N467" s="26">
        <f t="shared" si="125"/>
        <v>0</v>
      </c>
      <c r="O467" s="30">
        <f t="shared" si="125"/>
        <v>0</v>
      </c>
      <c r="P467" s="32">
        <f t="shared" si="125"/>
        <v>16.2</v>
      </c>
      <c r="Q467" s="25">
        <f t="shared" si="125"/>
        <v>32.47</v>
      </c>
      <c r="R467" s="1641"/>
      <c r="S467" s="26"/>
      <c r="T467" s="26"/>
      <c r="U467" s="31">
        <v>0</v>
      </c>
    </row>
    <row r="468" spans="1:26" s="210" customFormat="1" ht="15" customHeight="1" x14ac:dyDescent="0.2">
      <c r="A468" s="1603" t="s">
        <v>17</v>
      </c>
      <c r="B468" s="1606" t="s">
        <v>20</v>
      </c>
      <c r="C468" s="1609">
        <v>12</v>
      </c>
      <c r="D468" s="1690" t="s">
        <v>162</v>
      </c>
      <c r="E468" s="1615" t="s">
        <v>58</v>
      </c>
      <c r="F468" s="1650">
        <v>1</v>
      </c>
      <c r="G468" s="216" t="s">
        <v>30</v>
      </c>
      <c r="H468" s="49"/>
      <c r="I468" s="215"/>
      <c r="J468" s="215"/>
      <c r="K468" s="216"/>
      <c r="L468" s="49"/>
      <c r="M468" s="215"/>
      <c r="N468" s="215"/>
      <c r="O468" s="23"/>
      <c r="P468" s="14"/>
      <c r="Q468" s="21"/>
      <c r="R468" s="1644" t="s">
        <v>53</v>
      </c>
      <c r="S468" s="1676">
        <v>0.17499999999999999</v>
      </c>
      <c r="T468" s="1676">
        <v>0.18</v>
      </c>
      <c r="U468" s="1640" t="s">
        <v>596</v>
      </c>
    </row>
    <row r="469" spans="1:26" s="210" customFormat="1" ht="15" customHeight="1" x14ac:dyDescent="0.2">
      <c r="A469" s="1604"/>
      <c r="B469" s="1607"/>
      <c r="C469" s="1610"/>
      <c r="D469" s="1691"/>
      <c r="E469" s="1616"/>
      <c r="F469" s="1651"/>
      <c r="G469" s="129" t="s">
        <v>73</v>
      </c>
      <c r="H469" s="49"/>
      <c r="I469" s="215"/>
      <c r="J469" s="215"/>
      <c r="K469" s="216"/>
      <c r="L469" s="49"/>
      <c r="M469" s="215"/>
      <c r="N469" s="215"/>
      <c r="O469" s="23"/>
      <c r="P469" s="14"/>
      <c r="Q469" s="21"/>
      <c r="R469" s="1682"/>
      <c r="S469" s="1677"/>
      <c r="T469" s="1677"/>
      <c r="U469" s="1640"/>
    </row>
    <row r="470" spans="1:26" s="210" customFormat="1" ht="15" customHeight="1" x14ac:dyDescent="0.2">
      <c r="A470" s="1604"/>
      <c r="B470" s="1607"/>
      <c r="C470" s="1610"/>
      <c r="D470" s="1691"/>
      <c r="E470" s="1616"/>
      <c r="F470" s="1651"/>
      <c r="G470" s="130" t="s">
        <v>59</v>
      </c>
      <c r="H470" s="50"/>
      <c r="I470" s="17"/>
      <c r="J470" s="17"/>
      <c r="K470" s="19"/>
      <c r="L470" s="50">
        <f>+L471+L472</f>
        <v>0</v>
      </c>
      <c r="M470" s="17">
        <f t="shared" ref="M470:Q470" si="126">+M471+M472</f>
        <v>0</v>
      </c>
      <c r="N470" s="17">
        <f t="shared" si="126"/>
        <v>0</v>
      </c>
      <c r="O470" s="18">
        <f t="shared" si="126"/>
        <v>0</v>
      </c>
      <c r="P470" s="20">
        <f t="shared" si="126"/>
        <v>0</v>
      </c>
      <c r="Q470" s="37">
        <f t="shared" si="126"/>
        <v>0</v>
      </c>
      <c r="R470" s="1682"/>
      <c r="S470" s="1677"/>
      <c r="T470" s="1677"/>
      <c r="U470" s="1640"/>
    </row>
    <row r="471" spans="1:26" ht="15" customHeight="1" x14ac:dyDescent="0.2">
      <c r="A471" s="1604"/>
      <c r="B471" s="1607"/>
      <c r="C471" s="1610"/>
      <c r="D471" s="1691"/>
      <c r="E471" s="1616"/>
      <c r="F471" s="1651"/>
      <c r="G471" s="131" t="s">
        <v>130</v>
      </c>
      <c r="H471" s="126"/>
      <c r="I471" s="124"/>
      <c r="J471" s="124"/>
      <c r="K471" s="125"/>
      <c r="L471" s="126"/>
      <c r="M471" s="124"/>
      <c r="N471" s="124"/>
      <c r="O471" s="122"/>
      <c r="P471" s="127"/>
      <c r="Q471" s="128"/>
      <c r="R471" s="1682"/>
      <c r="S471" s="1677"/>
      <c r="T471" s="1677"/>
      <c r="U471" s="1640"/>
    </row>
    <row r="472" spans="1:26" ht="15" customHeight="1" x14ac:dyDescent="0.2">
      <c r="A472" s="1604"/>
      <c r="B472" s="1607"/>
      <c r="C472" s="1610"/>
      <c r="D472" s="1691"/>
      <c r="E472" s="1616"/>
      <c r="F472" s="1651"/>
      <c r="G472" s="131" t="s">
        <v>71</v>
      </c>
      <c r="H472" s="126"/>
      <c r="I472" s="124"/>
      <c r="J472" s="124"/>
      <c r="K472" s="125"/>
      <c r="L472" s="126"/>
      <c r="M472" s="124"/>
      <c r="N472" s="124"/>
      <c r="O472" s="122"/>
      <c r="P472" s="127"/>
      <c r="Q472" s="128"/>
      <c r="R472" s="1682"/>
      <c r="S472" s="1677"/>
      <c r="T472" s="1677"/>
      <c r="U472" s="1640"/>
      <c r="V472" s="1648"/>
      <c r="W472" s="1649"/>
      <c r="X472" s="1649"/>
      <c r="Y472" s="1649"/>
      <c r="Z472" s="1649"/>
    </row>
    <row r="473" spans="1:26" ht="15" customHeight="1" x14ac:dyDescent="0.2">
      <c r="A473" s="1604"/>
      <c r="B473" s="1607"/>
      <c r="C473" s="1610"/>
      <c r="D473" s="1691"/>
      <c r="E473" s="1616"/>
      <c r="F473" s="1651"/>
      <c r="G473" s="129" t="s">
        <v>36</v>
      </c>
      <c r="H473" s="49"/>
      <c r="I473" s="215"/>
      <c r="J473" s="215"/>
      <c r="K473" s="216"/>
      <c r="L473" s="63"/>
      <c r="M473" s="220"/>
      <c r="N473" s="220"/>
      <c r="O473" s="69"/>
      <c r="P473" s="14"/>
      <c r="Q473" s="21"/>
      <c r="R473" s="1682"/>
      <c r="S473" s="1677"/>
      <c r="T473" s="1677"/>
      <c r="U473" s="1640"/>
    </row>
    <row r="474" spans="1:26" ht="15" customHeight="1" x14ac:dyDescent="0.2">
      <c r="A474" s="1604"/>
      <c r="B474" s="1607"/>
      <c r="C474" s="1610"/>
      <c r="D474" s="1691"/>
      <c r="E474" s="1616"/>
      <c r="F474" s="1651"/>
      <c r="G474" s="129" t="s">
        <v>72</v>
      </c>
      <c r="H474" s="49"/>
      <c r="I474" s="215"/>
      <c r="J474" s="215"/>
      <c r="K474" s="216"/>
      <c r="L474" s="63"/>
      <c r="M474" s="220"/>
      <c r="N474" s="220"/>
      <c r="O474" s="69"/>
      <c r="P474" s="14"/>
      <c r="Q474" s="21"/>
      <c r="R474" s="1682"/>
      <c r="S474" s="1678"/>
      <c r="T474" s="1678"/>
      <c r="U474" s="1640"/>
    </row>
    <row r="475" spans="1:26" ht="15" customHeight="1" thickBot="1" x14ac:dyDescent="0.25">
      <c r="A475" s="1605"/>
      <c r="B475" s="1608"/>
      <c r="C475" s="1611"/>
      <c r="D475" s="1692"/>
      <c r="E475" s="1617"/>
      <c r="F475" s="1652"/>
      <c r="G475" s="133" t="s">
        <v>13</v>
      </c>
      <c r="H475" s="55">
        <f>+H468+H469+H470+H473+H474</f>
        <v>0</v>
      </c>
      <c r="I475" s="40">
        <f t="shared" ref="I475:Q475" si="127">+I468+I469+I470+I473+I474</f>
        <v>0</v>
      </c>
      <c r="J475" s="40">
        <f t="shared" si="127"/>
        <v>0</v>
      </c>
      <c r="K475" s="42">
        <f t="shared" si="127"/>
        <v>0</v>
      </c>
      <c r="L475" s="55">
        <f t="shared" si="127"/>
        <v>0</v>
      </c>
      <c r="M475" s="40">
        <f t="shared" si="127"/>
        <v>0</v>
      </c>
      <c r="N475" s="40">
        <f t="shared" si="127"/>
        <v>0</v>
      </c>
      <c r="O475" s="41">
        <f t="shared" si="127"/>
        <v>0</v>
      </c>
      <c r="P475" s="43">
        <f t="shared" si="127"/>
        <v>0</v>
      </c>
      <c r="Q475" s="56">
        <f t="shared" si="127"/>
        <v>0</v>
      </c>
      <c r="R475" s="1683"/>
      <c r="S475" s="26">
        <v>0.18</v>
      </c>
      <c r="T475" s="26">
        <v>0</v>
      </c>
      <c r="U475" s="31"/>
    </row>
    <row r="476" spans="1:26" s="210" customFormat="1" ht="15" customHeight="1" x14ac:dyDescent="0.2">
      <c r="A476" s="1603" t="s">
        <v>17</v>
      </c>
      <c r="B476" s="1606" t="s">
        <v>20</v>
      </c>
      <c r="C476" s="1609">
        <v>13</v>
      </c>
      <c r="D476" s="1690" t="s">
        <v>180</v>
      </c>
      <c r="E476" s="1615" t="s">
        <v>58</v>
      </c>
      <c r="F476" s="1650">
        <v>1</v>
      </c>
      <c r="G476" s="216" t="s">
        <v>30</v>
      </c>
      <c r="H476" s="49"/>
      <c r="I476" s="215"/>
      <c r="J476" s="215"/>
      <c r="K476" s="216"/>
      <c r="L476" s="49"/>
      <c r="M476" s="215"/>
      <c r="N476" s="215"/>
      <c r="O476" s="23"/>
      <c r="P476" s="14"/>
      <c r="Q476" s="21"/>
      <c r="R476" s="1644" t="s">
        <v>181</v>
      </c>
      <c r="S476" s="1676">
        <v>0.8</v>
      </c>
      <c r="T476" s="1676">
        <v>0.8</v>
      </c>
      <c r="U476" s="1640" t="s">
        <v>596</v>
      </c>
    </row>
    <row r="477" spans="1:26" s="210" customFormat="1" ht="15" customHeight="1" x14ac:dyDescent="0.2">
      <c r="A477" s="1604"/>
      <c r="B477" s="1607"/>
      <c r="C477" s="1610"/>
      <c r="D477" s="1691"/>
      <c r="E477" s="1616"/>
      <c r="F477" s="1651"/>
      <c r="G477" s="129" t="s">
        <v>73</v>
      </c>
      <c r="H477" s="49"/>
      <c r="I477" s="215"/>
      <c r="J477" s="215"/>
      <c r="K477" s="216"/>
      <c r="L477" s="49"/>
      <c r="M477" s="215"/>
      <c r="N477" s="215"/>
      <c r="O477" s="23"/>
      <c r="P477" s="14"/>
      <c r="Q477" s="21"/>
      <c r="R477" s="1682"/>
      <c r="S477" s="1677"/>
      <c r="T477" s="1677"/>
      <c r="U477" s="1640"/>
    </row>
    <row r="478" spans="1:26" s="210" customFormat="1" ht="15" customHeight="1" x14ac:dyDescent="0.2">
      <c r="A478" s="1604"/>
      <c r="B478" s="1607"/>
      <c r="C478" s="1610"/>
      <c r="D478" s="1691"/>
      <c r="E478" s="1616"/>
      <c r="F478" s="1651"/>
      <c r="G478" s="130" t="s">
        <v>59</v>
      </c>
      <c r="H478" s="50"/>
      <c r="I478" s="17"/>
      <c r="J478" s="17"/>
      <c r="K478" s="19"/>
      <c r="L478" s="50">
        <f>+L479+L480</f>
        <v>0</v>
      </c>
      <c r="M478" s="17">
        <f t="shared" ref="M478:Q478" si="128">+M479+M480</f>
        <v>0</v>
      </c>
      <c r="N478" s="17">
        <f t="shared" si="128"/>
        <v>0</v>
      </c>
      <c r="O478" s="18">
        <f t="shared" si="128"/>
        <v>0</v>
      </c>
      <c r="P478" s="20">
        <f t="shared" si="128"/>
        <v>0</v>
      </c>
      <c r="Q478" s="37">
        <f t="shared" si="128"/>
        <v>0</v>
      </c>
      <c r="R478" s="1682"/>
      <c r="S478" s="1677"/>
      <c r="T478" s="1677"/>
      <c r="U478" s="1640"/>
    </row>
    <row r="479" spans="1:26" ht="15" customHeight="1" x14ac:dyDescent="0.2">
      <c r="A479" s="1604"/>
      <c r="B479" s="1607"/>
      <c r="C479" s="1610"/>
      <c r="D479" s="1691"/>
      <c r="E479" s="1616"/>
      <c r="F479" s="1651"/>
      <c r="G479" s="131" t="s">
        <v>130</v>
      </c>
      <c r="H479" s="126"/>
      <c r="I479" s="124"/>
      <c r="J479" s="124"/>
      <c r="K479" s="125"/>
      <c r="L479" s="126"/>
      <c r="M479" s="124"/>
      <c r="N479" s="124"/>
      <c r="O479" s="122"/>
      <c r="P479" s="127"/>
      <c r="Q479" s="128"/>
      <c r="R479" s="1682"/>
      <c r="S479" s="1677"/>
      <c r="T479" s="1677"/>
      <c r="U479" s="1640"/>
    </row>
    <row r="480" spans="1:26" ht="15" customHeight="1" x14ac:dyDescent="0.2">
      <c r="A480" s="1604"/>
      <c r="B480" s="1607"/>
      <c r="C480" s="1610"/>
      <c r="D480" s="1691"/>
      <c r="E480" s="1616"/>
      <c r="F480" s="1651"/>
      <c r="G480" s="131" t="s">
        <v>71</v>
      </c>
      <c r="H480" s="126"/>
      <c r="I480" s="124"/>
      <c r="J480" s="124"/>
      <c r="K480" s="125"/>
      <c r="L480" s="126"/>
      <c r="M480" s="124"/>
      <c r="N480" s="124"/>
      <c r="O480" s="122"/>
      <c r="P480" s="127"/>
      <c r="Q480" s="128"/>
      <c r="R480" s="1682"/>
      <c r="S480" s="1677"/>
      <c r="T480" s="1677"/>
      <c r="U480" s="1640"/>
      <c r="V480" s="1648"/>
      <c r="W480" s="1649"/>
      <c r="X480" s="1649"/>
      <c r="Y480" s="1649"/>
      <c r="Z480" s="1649"/>
    </row>
    <row r="481" spans="1:26" ht="15" customHeight="1" x14ac:dyDescent="0.2">
      <c r="A481" s="1604"/>
      <c r="B481" s="1607"/>
      <c r="C481" s="1610"/>
      <c r="D481" s="1691"/>
      <c r="E481" s="1616"/>
      <c r="F481" s="1651"/>
      <c r="G481" s="129" t="s">
        <v>36</v>
      </c>
      <c r="H481" s="49"/>
      <c r="I481" s="215"/>
      <c r="J481" s="215"/>
      <c r="K481" s="216"/>
      <c r="L481" s="63"/>
      <c r="M481" s="220"/>
      <c r="N481" s="220"/>
      <c r="O481" s="69"/>
      <c r="P481" s="14"/>
      <c r="Q481" s="21"/>
      <c r="R481" s="1682"/>
      <c r="S481" s="1677"/>
      <c r="T481" s="1677"/>
      <c r="U481" s="1640"/>
    </row>
    <row r="482" spans="1:26" ht="15" customHeight="1" x14ac:dyDescent="0.2">
      <c r="A482" s="1604"/>
      <c r="B482" s="1607"/>
      <c r="C482" s="1610"/>
      <c r="D482" s="1691"/>
      <c r="E482" s="1616"/>
      <c r="F482" s="1651"/>
      <c r="G482" s="129" t="s">
        <v>72</v>
      </c>
      <c r="H482" s="49"/>
      <c r="I482" s="215"/>
      <c r="J482" s="215"/>
      <c r="K482" s="216"/>
      <c r="L482" s="63"/>
      <c r="M482" s="220"/>
      <c r="N482" s="220"/>
      <c r="O482" s="69"/>
      <c r="P482" s="14"/>
      <c r="Q482" s="21"/>
      <c r="R482" s="1682"/>
      <c r="S482" s="1678"/>
      <c r="T482" s="1678"/>
      <c r="U482" s="1640"/>
    </row>
    <row r="483" spans="1:26" ht="15" customHeight="1" thickBot="1" x14ac:dyDescent="0.25">
      <c r="A483" s="1605"/>
      <c r="B483" s="1608"/>
      <c r="C483" s="1611"/>
      <c r="D483" s="1692"/>
      <c r="E483" s="1617"/>
      <c r="F483" s="1652"/>
      <c r="G483" s="133" t="s">
        <v>13</v>
      </c>
      <c r="H483" s="55">
        <f>+H476+H477+H478+H481+H482</f>
        <v>0</v>
      </c>
      <c r="I483" s="40">
        <f t="shared" ref="I483:Q483" si="129">+I476+I477+I478+I481+I482</f>
        <v>0</v>
      </c>
      <c r="J483" s="40">
        <f t="shared" si="129"/>
        <v>0</v>
      </c>
      <c r="K483" s="42">
        <f t="shared" si="129"/>
        <v>0</v>
      </c>
      <c r="L483" s="55">
        <f t="shared" si="129"/>
        <v>0</v>
      </c>
      <c r="M483" s="40">
        <f t="shared" si="129"/>
        <v>0</v>
      </c>
      <c r="N483" s="40">
        <f t="shared" si="129"/>
        <v>0</v>
      </c>
      <c r="O483" s="41">
        <f t="shared" si="129"/>
        <v>0</v>
      </c>
      <c r="P483" s="43">
        <f t="shared" si="129"/>
        <v>0</v>
      </c>
      <c r="Q483" s="56">
        <f t="shared" si="129"/>
        <v>0</v>
      </c>
      <c r="R483" s="1683"/>
      <c r="S483" s="26">
        <v>0.18</v>
      </c>
      <c r="T483" s="26">
        <v>0</v>
      </c>
      <c r="U483" s="31"/>
    </row>
    <row r="484" spans="1:26" s="210" customFormat="1" ht="15" customHeight="1" x14ac:dyDescent="0.2">
      <c r="A484" s="1603" t="s">
        <v>17</v>
      </c>
      <c r="B484" s="1606" t="s">
        <v>20</v>
      </c>
      <c r="C484" s="1609">
        <v>14</v>
      </c>
      <c r="D484" s="1679" t="s">
        <v>187</v>
      </c>
      <c r="E484" s="1615" t="s">
        <v>58</v>
      </c>
      <c r="F484" s="1650">
        <v>1</v>
      </c>
      <c r="G484" s="216" t="s">
        <v>30</v>
      </c>
      <c r="H484" s="49"/>
      <c r="I484" s="215"/>
      <c r="J484" s="215"/>
      <c r="K484" s="216"/>
      <c r="L484" s="49"/>
      <c r="M484" s="215"/>
      <c r="N484" s="215"/>
      <c r="O484" s="23"/>
      <c r="P484" s="14">
        <v>28.6</v>
      </c>
      <c r="Q484" s="21"/>
      <c r="R484" s="1644" t="s">
        <v>188</v>
      </c>
      <c r="S484" s="1676"/>
      <c r="T484" s="1676"/>
      <c r="U484" s="1640" t="s">
        <v>597</v>
      </c>
    </row>
    <row r="485" spans="1:26" s="210" customFormat="1" ht="15" customHeight="1" x14ac:dyDescent="0.2">
      <c r="A485" s="1604"/>
      <c r="B485" s="1607"/>
      <c r="C485" s="1610"/>
      <c r="D485" s="1680"/>
      <c r="E485" s="1616"/>
      <c r="F485" s="1651"/>
      <c r="G485" s="129" t="s">
        <v>73</v>
      </c>
      <c r="H485" s="49"/>
      <c r="I485" s="215"/>
      <c r="J485" s="215"/>
      <c r="K485" s="216"/>
      <c r="L485" s="49"/>
      <c r="M485" s="215"/>
      <c r="N485" s="215"/>
      <c r="O485" s="23"/>
      <c r="P485" s="14"/>
      <c r="Q485" s="21"/>
      <c r="R485" s="1682"/>
      <c r="S485" s="1677"/>
      <c r="T485" s="1677"/>
      <c r="U485" s="1640"/>
    </row>
    <row r="486" spans="1:26" s="210" customFormat="1" ht="15" customHeight="1" x14ac:dyDescent="0.2">
      <c r="A486" s="1604"/>
      <c r="B486" s="1607"/>
      <c r="C486" s="1610"/>
      <c r="D486" s="1680"/>
      <c r="E486" s="1616"/>
      <c r="F486" s="1651"/>
      <c r="G486" s="130" t="s">
        <v>59</v>
      </c>
      <c r="H486" s="50">
        <f>+H487+H488+H489+H490</f>
        <v>5</v>
      </c>
      <c r="I486" s="50">
        <f t="shared" ref="I486:K486" si="130">+I487+I488+I489+I490</f>
        <v>0</v>
      </c>
      <c r="J486" s="50">
        <f t="shared" si="130"/>
        <v>0</v>
      </c>
      <c r="K486" s="50">
        <f t="shared" si="130"/>
        <v>5</v>
      </c>
      <c r="L486" s="50">
        <f>+L487+L488</f>
        <v>0</v>
      </c>
      <c r="M486" s="17">
        <f t="shared" ref="M486:Q486" si="131">+M487+M488</f>
        <v>0</v>
      </c>
      <c r="N486" s="17">
        <f t="shared" si="131"/>
        <v>0</v>
      </c>
      <c r="O486" s="18">
        <f t="shared" si="131"/>
        <v>0</v>
      </c>
      <c r="P486" s="20">
        <f t="shared" si="131"/>
        <v>5.0999999999999996</v>
      </c>
      <c r="Q486" s="37">
        <f t="shared" si="131"/>
        <v>0</v>
      </c>
      <c r="R486" s="1682"/>
      <c r="S486" s="1677"/>
      <c r="T486" s="1677"/>
      <c r="U486" s="1640"/>
    </row>
    <row r="487" spans="1:26" ht="15" customHeight="1" x14ac:dyDescent="0.2">
      <c r="A487" s="1604"/>
      <c r="B487" s="1607"/>
      <c r="C487" s="1610"/>
      <c r="D487" s="1680"/>
      <c r="E487" s="1616"/>
      <c r="F487" s="1651"/>
      <c r="G487" s="131" t="s">
        <v>130</v>
      </c>
      <c r="H487" s="126"/>
      <c r="I487" s="124"/>
      <c r="J487" s="124"/>
      <c r="K487" s="125"/>
      <c r="L487" s="110"/>
      <c r="M487" s="98"/>
      <c r="N487" s="98"/>
      <c r="O487" s="100"/>
      <c r="P487" s="99">
        <v>5.0999999999999996</v>
      </c>
      <c r="Q487" s="103"/>
      <c r="R487" s="1682"/>
      <c r="S487" s="1677"/>
      <c r="T487" s="1677"/>
      <c r="U487" s="1640"/>
    </row>
    <row r="488" spans="1:26" ht="15" customHeight="1" x14ac:dyDescent="0.2">
      <c r="A488" s="1604"/>
      <c r="B488" s="1607"/>
      <c r="C488" s="1610"/>
      <c r="D488" s="1680"/>
      <c r="E488" s="1616"/>
      <c r="F488" s="1651"/>
      <c r="G488" s="131" t="s">
        <v>71</v>
      </c>
      <c r="H488" s="49">
        <v>5</v>
      </c>
      <c r="I488" s="215"/>
      <c r="J488" s="215"/>
      <c r="K488" s="216">
        <v>5</v>
      </c>
      <c r="L488" s="126"/>
      <c r="M488" s="124"/>
      <c r="N488" s="124"/>
      <c r="O488" s="122"/>
      <c r="P488" s="127"/>
      <c r="Q488" s="128"/>
      <c r="R488" s="1682"/>
      <c r="S488" s="1677"/>
      <c r="T488" s="1677"/>
      <c r="U488" s="1640"/>
      <c r="V488" s="1648"/>
      <c r="W488" s="1649"/>
      <c r="X488" s="1649"/>
      <c r="Y488" s="1649"/>
      <c r="Z488" s="1649"/>
    </row>
    <row r="489" spans="1:26" ht="15" customHeight="1" x14ac:dyDescent="0.2">
      <c r="A489" s="1604"/>
      <c r="B489" s="1607"/>
      <c r="C489" s="1610"/>
      <c r="D489" s="1680"/>
      <c r="E489" s="1616"/>
      <c r="F489" s="1651"/>
      <c r="G489" s="129" t="s">
        <v>36</v>
      </c>
      <c r="H489" s="49"/>
      <c r="I489" s="215"/>
      <c r="J489" s="215"/>
      <c r="K489" s="216"/>
      <c r="L489" s="63"/>
      <c r="M489" s="220"/>
      <c r="N489" s="220"/>
      <c r="O489" s="69"/>
      <c r="P489" s="14"/>
      <c r="Q489" s="21"/>
      <c r="R489" s="1682"/>
      <c r="S489" s="1677"/>
      <c r="T489" s="1677"/>
      <c r="U489" s="1640"/>
    </row>
    <row r="490" spans="1:26" ht="15" customHeight="1" x14ac:dyDescent="0.2">
      <c r="A490" s="1604"/>
      <c r="B490" s="1607"/>
      <c r="C490" s="1610"/>
      <c r="D490" s="1680"/>
      <c r="E490" s="1616"/>
      <c r="F490" s="1651"/>
      <c r="G490" s="129" t="s">
        <v>72</v>
      </c>
      <c r="H490" s="49"/>
      <c r="I490" s="215"/>
      <c r="J490" s="215"/>
      <c r="K490" s="216"/>
      <c r="L490" s="63"/>
      <c r="M490" s="220"/>
      <c r="N490" s="220"/>
      <c r="O490" s="69"/>
      <c r="P490" s="14"/>
      <c r="Q490" s="21"/>
      <c r="R490" s="1682"/>
      <c r="S490" s="1678"/>
      <c r="T490" s="1678"/>
      <c r="U490" s="1640"/>
    </row>
    <row r="491" spans="1:26" ht="15" customHeight="1" thickBot="1" x14ac:dyDescent="0.25">
      <c r="A491" s="1605"/>
      <c r="B491" s="1608"/>
      <c r="C491" s="1611"/>
      <c r="D491" s="1681"/>
      <c r="E491" s="1617"/>
      <c r="F491" s="1652"/>
      <c r="G491" s="133" t="s">
        <v>13</v>
      </c>
      <c r="H491" s="55">
        <f>+H484+H485+H486+H489+H490</f>
        <v>5</v>
      </c>
      <c r="I491" s="40">
        <f t="shared" ref="I491:K491" si="132">+I484+I485+I486+I489+I490</f>
        <v>0</v>
      </c>
      <c r="J491" s="40">
        <f t="shared" si="132"/>
        <v>0</v>
      </c>
      <c r="K491" s="42">
        <f t="shared" si="132"/>
        <v>5</v>
      </c>
      <c r="L491" s="55">
        <f>+L484+L485+L486+L489+L490</f>
        <v>0</v>
      </c>
      <c r="M491" s="40">
        <f t="shared" ref="M491:Q491" si="133">+M484+M485+M486+M489+M490</f>
        <v>0</v>
      </c>
      <c r="N491" s="40">
        <f t="shared" si="133"/>
        <v>0</v>
      </c>
      <c r="O491" s="41">
        <f t="shared" si="133"/>
        <v>0</v>
      </c>
      <c r="P491" s="43">
        <f t="shared" si="133"/>
        <v>33.700000000000003</v>
      </c>
      <c r="Q491" s="56">
        <f t="shared" si="133"/>
        <v>0</v>
      </c>
      <c r="R491" s="1683"/>
      <c r="S491" s="26"/>
      <c r="T491" s="26"/>
      <c r="U491" s="31"/>
    </row>
    <row r="492" spans="1:26" s="210" customFormat="1" ht="15" customHeight="1" x14ac:dyDescent="0.2">
      <c r="A492" s="1603" t="s">
        <v>17</v>
      </c>
      <c r="B492" s="1606" t="s">
        <v>20</v>
      </c>
      <c r="C492" s="1609">
        <v>15</v>
      </c>
      <c r="D492" s="1679" t="s">
        <v>189</v>
      </c>
      <c r="E492" s="1615" t="s">
        <v>58</v>
      </c>
      <c r="F492" s="1650">
        <v>1</v>
      </c>
      <c r="G492" s="216" t="s">
        <v>30</v>
      </c>
      <c r="H492" s="49"/>
      <c r="I492" s="215"/>
      <c r="J492" s="215"/>
      <c r="K492" s="216"/>
      <c r="L492" s="49"/>
      <c r="M492" s="215"/>
      <c r="N492" s="215"/>
      <c r="O492" s="23"/>
      <c r="P492" s="14"/>
      <c r="Q492" s="21"/>
      <c r="R492" s="1644" t="s">
        <v>138</v>
      </c>
      <c r="S492" s="1676">
        <v>100</v>
      </c>
      <c r="T492" s="1676">
        <v>100</v>
      </c>
      <c r="U492" s="1684"/>
    </row>
    <row r="493" spans="1:26" s="210" customFormat="1" ht="15" customHeight="1" x14ac:dyDescent="0.2">
      <c r="A493" s="1604"/>
      <c r="B493" s="1607"/>
      <c r="C493" s="1610"/>
      <c r="D493" s="1680"/>
      <c r="E493" s="1616"/>
      <c r="F493" s="1651"/>
      <c r="G493" s="129" t="s">
        <v>73</v>
      </c>
      <c r="H493" s="49"/>
      <c r="I493" s="215"/>
      <c r="J493" s="215"/>
      <c r="K493" s="216"/>
      <c r="L493" s="49"/>
      <c r="M493" s="215"/>
      <c r="N493" s="215"/>
      <c r="O493" s="23"/>
      <c r="P493" s="14"/>
      <c r="Q493" s="21"/>
      <c r="R493" s="1682"/>
      <c r="S493" s="1677"/>
      <c r="T493" s="1677"/>
      <c r="U493" s="1685"/>
    </row>
    <row r="494" spans="1:26" s="210" customFormat="1" ht="15" customHeight="1" x14ac:dyDescent="0.2">
      <c r="A494" s="1604"/>
      <c r="B494" s="1607"/>
      <c r="C494" s="1610"/>
      <c r="D494" s="1680"/>
      <c r="E494" s="1616"/>
      <c r="F494" s="1651"/>
      <c r="G494" s="130" t="s">
        <v>59</v>
      </c>
      <c r="H494" s="50">
        <f>+H495+H496+H497+H498</f>
        <v>37</v>
      </c>
      <c r="I494" s="50">
        <f t="shared" ref="I494:K494" si="134">+I495+I496+I497+I498</f>
        <v>37</v>
      </c>
      <c r="J494" s="50">
        <f t="shared" si="134"/>
        <v>0</v>
      </c>
      <c r="K494" s="50">
        <f t="shared" si="134"/>
        <v>0</v>
      </c>
      <c r="L494" s="50">
        <f>+L495+L496</f>
        <v>7.6</v>
      </c>
      <c r="M494" s="17">
        <f t="shared" ref="M494:Q494" si="135">+M495+M496</f>
        <v>7.6</v>
      </c>
      <c r="N494" s="17">
        <f t="shared" si="135"/>
        <v>0</v>
      </c>
      <c r="O494" s="18">
        <f t="shared" si="135"/>
        <v>0</v>
      </c>
      <c r="P494" s="20">
        <f t="shared" si="135"/>
        <v>0</v>
      </c>
      <c r="Q494" s="37">
        <f t="shared" si="135"/>
        <v>0</v>
      </c>
      <c r="R494" s="1682"/>
      <c r="S494" s="1677"/>
      <c r="T494" s="1677"/>
      <c r="U494" s="1685"/>
    </row>
    <row r="495" spans="1:26" ht="15" customHeight="1" x14ac:dyDescent="0.2">
      <c r="A495" s="1604"/>
      <c r="B495" s="1607"/>
      <c r="C495" s="1610"/>
      <c r="D495" s="1680"/>
      <c r="E495" s="1616"/>
      <c r="F495" s="1651"/>
      <c r="G495" s="131" t="s">
        <v>130</v>
      </c>
      <c r="H495" s="49">
        <v>7.6</v>
      </c>
      <c r="I495" s="897">
        <v>7.6</v>
      </c>
      <c r="J495" s="897"/>
      <c r="K495" s="898"/>
      <c r="L495" s="49">
        <v>7.6</v>
      </c>
      <c r="M495" s="897">
        <v>7.6</v>
      </c>
      <c r="N495" s="897"/>
      <c r="O495" s="939"/>
      <c r="P495" s="99"/>
      <c r="Q495" s="103"/>
      <c r="R495" s="1682"/>
      <c r="S495" s="1677"/>
      <c r="T495" s="1677"/>
      <c r="U495" s="1685"/>
    </row>
    <row r="496" spans="1:26" ht="15" customHeight="1" x14ac:dyDescent="0.2">
      <c r="A496" s="1604"/>
      <c r="B496" s="1607"/>
      <c r="C496" s="1610"/>
      <c r="D496" s="1680"/>
      <c r="E496" s="1616"/>
      <c r="F496" s="1651"/>
      <c r="G496" s="131" t="s">
        <v>71</v>
      </c>
      <c r="H496" s="49"/>
      <c r="I496" s="897"/>
      <c r="J496" s="897"/>
      <c r="K496" s="898"/>
      <c r="L496" s="49"/>
      <c r="M496" s="897"/>
      <c r="N496" s="897"/>
      <c r="O496" s="939"/>
      <c r="P496" s="127"/>
      <c r="Q496" s="128"/>
      <c r="R496" s="1682"/>
      <c r="S496" s="1677"/>
      <c r="T496" s="1677"/>
      <c r="U496" s="1685"/>
      <c r="V496" s="1648"/>
      <c r="W496" s="1649"/>
      <c r="X496" s="1649"/>
      <c r="Y496" s="1649"/>
      <c r="Z496" s="1649"/>
    </row>
    <row r="497" spans="1:23" ht="15" customHeight="1" x14ac:dyDescent="0.2">
      <c r="A497" s="1604"/>
      <c r="B497" s="1607"/>
      <c r="C497" s="1610"/>
      <c r="D497" s="1680"/>
      <c r="E497" s="1616"/>
      <c r="F497" s="1651"/>
      <c r="G497" s="129" t="s">
        <v>36</v>
      </c>
      <c r="H497" s="49"/>
      <c r="I497" s="897"/>
      <c r="J497" s="897"/>
      <c r="K497" s="898"/>
      <c r="L497" s="63"/>
      <c r="M497" s="899"/>
      <c r="N497" s="899"/>
      <c r="O497" s="69"/>
      <c r="P497" s="14"/>
      <c r="Q497" s="21"/>
      <c r="R497" s="1682"/>
      <c r="S497" s="1677"/>
      <c r="T497" s="1677"/>
      <c r="U497" s="1685"/>
    </row>
    <row r="498" spans="1:23" ht="15" customHeight="1" x14ac:dyDescent="0.2">
      <c r="A498" s="1604"/>
      <c r="B498" s="1607"/>
      <c r="C498" s="1610"/>
      <c r="D498" s="1680"/>
      <c r="E498" s="1616"/>
      <c r="F498" s="1651"/>
      <c r="G498" s="129" t="s">
        <v>72</v>
      </c>
      <c r="H498" s="49">
        <v>29.4</v>
      </c>
      <c r="I498" s="897">
        <v>29.4</v>
      </c>
      <c r="J498" s="897"/>
      <c r="K498" s="898"/>
      <c r="L498" s="63">
        <v>29.4</v>
      </c>
      <c r="M498" s="899">
        <v>29.4</v>
      </c>
      <c r="N498" s="899"/>
      <c r="O498" s="69"/>
      <c r="P498" s="14">
        <v>93.4</v>
      </c>
      <c r="Q498" s="21">
        <v>93.4</v>
      </c>
      <c r="R498" s="1682"/>
      <c r="S498" s="1678"/>
      <c r="T498" s="1678"/>
      <c r="U498" s="1686"/>
    </row>
    <row r="499" spans="1:23" ht="15" customHeight="1" thickBot="1" x14ac:dyDescent="0.25">
      <c r="A499" s="1605"/>
      <c r="B499" s="1608"/>
      <c r="C499" s="1611"/>
      <c r="D499" s="1681"/>
      <c r="E499" s="1617"/>
      <c r="F499" s="1652"/>
      <c r="G499" s="133" t="s">
        <v>13</v>
      </c>
      <c r="H499" s="55">
        <f>+H492+H493+H494+H497+H498</f>
        <v>66.400000000000006</v>
      </c>
      <c r="I499" s="40">
        <f t="shared" ref="I499:K499" si="136">+I492+I493+I494+I497+I498</f>
        <v>66.400000000000006</v>
      </c>
      <c r="J499" s="40">
        <f t="shared" si="136"/>
        <v>0</v>
      </c>
      <c r="K499" s="42">
        <f t="shared" si="136"/>
        <v>0</v>
      </c>
      <c r="L499" s="55">
        <f>+L492+L493+L494+L497+L498</f>
        <v>37</v>
      </c>
      <c r="M499" s="40">
        <f t="shared" ref="M499:Q499" si="137">+M492+M493+M494+M497+M498</f>
        <v>37</v>
      </c>
      <c r="N499" s="40">
        <f t="shared" si="137"/>
        <v>0</v>
      </c>
      <c r="O499" s="41">
        <f t="shared" si="137"/>
        <v>0</v>
      </c>
      <c r="P499" s="43">
        <f t="shared" si="137"/>
        <v>93.4</v>
      </c>
      <c r="Q499" s="56">
        <f t="shared" si="137"/>
        <v>93.4</v>
      </c>
      <c r="R499" s="1683"/>
      <c r="S499" s="26">
        <v>100</v>
      </c>
      <c r="T499" s="26">
        <v>100</v>
      </c>
      <c r="U499" s="31"/>
    </row>
    <row r="500" spans="1:23" ht="15" customHeight="1" thickBot="1" x14ac:dyDescent="0.25">
      <c r="A500" s="212" t="s">
        <v>17</v>
      </c>
      <c r="B500" s="214" t="s">
        <v>20</v>
      </c>
      <c r="C500" s="1653" t="s">
        <v>14</v>
      </c>
      <c r="D500" s="1654"/>
      <c r="E500" s="1654"/>
      <c r="F500" s="1654"/>
      <c r="G500" s="1654"/>
      <c r="H500" s="45">
        <f>+H403+H411+H419+H427+H435+H443+H451+H459+H467+H499</f>
        <v>981.80000000000007</v>
      </c>
      <c r="I500" s="45">
        <f t="shared" ref="I500:Q500" si="138">+I403+I411+I419+I427+I435+I443+I451+I459+I467+I499</f>
        <v>434.1</v>
      </c>
      <c r="J500" s="45">
        <f t="shared" si="138"/>
        <v>0</v>
      </c>
      <c r="K500" s="45">
        <f t="shared" si="138"/>
        <v>547.70000000000005</v>
      </c>
      <c r="L500" s="45">
        <f t="shared" si="138"/>
        <v>948</v>
      </c>
      <c r="M500" s="45">
        <f t="shared" si="138"/>
        <v>404.5</v>
      </c>
      <c r="N500" s="45">
        <f t="shared" si="138"/>
        <v>0</v>
      </c>
      <c r="O500" s="45">
        <f t="shared" si="138"/>
        <v>543.5</v>
      </c>
      <c r="P500" s="45">
        <f t="shared" si="138"/>
        <v>1001.1000000000001</v>
      </c>
      <c r="Q500" s="45">
        <f t="shared" si="138"/>
        <v>834.77</v>
      </c>
      <c r="R500" s="117" t="s">
        <v>23</v>
      </c>
      <c r="S500" s="225" t="s">
        <v>23</v>
      </c>
      <c r="T500" s="225" t="s">
        <v>23</v>
      </c>
      <c r="U500" s="118" t="s">
        <v>23</v>
      </c>
    </row>
    <row r="501" spans="1:23" ht="15" customHeight="1" thickBot="1" x14ac:dyDescent="0.25">
      <c r="A501" s="212" t="s">
        <v>17</v>
      </c>
      <c r="B501" s="217" t="s">
        <v>21</v>
      </c>
      <c r="C501" s="1655" t="s">
        <v>34</v>
      </c>
      <c r="D501" s="1656"/>
      <c r="E501" s="1656"/>
      <c r="F501" s="1656"/>
      <c r="G501" s="1656"/>
      <c r="H501" s="1656"/>
      <c r="I501" s="1656"/>
      <c r="J501" s="1656"/>
      <c r="K501" s="1656"/>
      <c r="L501" s="1657"/>
      <c r="M501" s="1657"/>
      <c r="N501" s="1657"/>
      <c r="O501" s="1657"/>
      <c r="P501" s="1657"/>
      <c r="Q501" s="1656"/>
      <c r="R501" s="1657"/>
      <c r="S501" s="1657"/>
      <c r="T501" s="1657"/>
      <c r="U501" s="1658"/>
    </row>
    <row r="502" spans="1:23" ht="15" customHeight="1" x14ac:dyDescent="0.2">
      <c r="A502" s="1659" t="s">
        <v>17</v>
      </c>
      <c r="B502" s="1660" t="s">
        <v>21</v>
      </c>
      <c r="C502" s="1663" t="s">
        <v>17</v>
      </c>
      <c r="D502" s="1665" t="s">
        <v>66</v>
      </c>
      <c r="E502" s="1667" t="s">
        <v>54</v>
      </c>
      <c r="F502" s="1618">
        <v>1</v>
      </c>
      <c r="G502" s="10" t="s">
        <v>30</v>
      </c>
      <c r="H502" s="72"/>
      <c r="I502" s="73"/>
      <c r="J502" s="73"/>
      <c r="K502" s="74"/>
      <c r="L502" s="72"/>
      <c r="M502" s="73"/>
      <c r="N502" s="73"/>
      <c r="O502" s="74"/>
      <c r="P502" s="75"/>
      <c r="Q502" s="119"/>
      <c r="R502" s="1669" t="s">
        <v>35</v>
      </c>
      <c r="S502" s="1672">
        <v>1</v>
      </c>
      <c r="T502" s="1672">
        <v>1</v>
      </c>
      <c r="U502" s="1674"/>
    </row>
    <row r="503" spans="1:23" ht="15" customHeight="1" x14ac:dyDescent="0.2">
      <c r="A503" s="1659"/>
      <c r="B503" s="1661"/>
      <c r="C503" s="1664"/>
      <c r="D503" s="1666"/>
      <c r="E503" s="1668"/>
      <c r="F503" s="1618"/>
      <c r="G503" s="23" t="s">
        <v>73</v>
      </c>
      <c r="H503" s="96">
        <v>9.5</v>
      </c>
      <c r="I503" s="63"/>
      <c r="J503" s="736"/>
      <c r="K503" s="69">
        <v>9.5</v>
      </c>
      <c r="L503" s="96">
        <v>9.5</v>
      </c>
      <c r="M503" s="63"/>
      <c r="N503" s="736"/>
      <c r="O503" s="69">
        <v>9.5</v>
      </c>
      <c r="P503" s="65"/>
      <c r="Q503" s="60"/>
      <c r="R503" s="1670"/>
      <c r="S503" s="1673"/>
      <c r="T503" s="1673"/>
      <c r="U503" s="1675"/>
    </row>
    <row r="504" spans="1:23" ht="15" customHeight="1" x14ac:dyDescent="0.2">
      <c r="A504" s="1659"/>
      <c r="B504" s="1661"/>
      <c r="C504" s="1664"/>
      <c r="D504" s="1666"/>
      <c r="E504" s="1668"/>
      <c r="F504" s="1618"/>
      <c r="G504" s="36" t="s">
        <v>59</v>
      </c>
      <c r="H504" s="57">
        <f>+H505+H506</f>
        <v>12</v>
      </c>
      <c r="I504" s="61">
        <f t="shared" ref="I504:K504" si="139">+I505+I506</f>
        <v>0</v>
      </c>
      <c r="J504" s="64">
        <f t="shared" si="139"/>
        <v>0</v>
      </c>
      <c r="K504" s="76">
        <f t="shared" si="139"/>
        <v>12</v>
      </c>
      <c r="L504" s="57">
        <f>+L505+L506</f>
        <v>6.6</v>
      </c>
      <c r="M504" s="61">
        <f t="shared" ref="M504:Q504" si="140">+M505+M506</f>
        <v>0</v>
      </c>
      <c r="N504" s="64">
        <f t="shared" si="140"/>
        <v>0</v>
      </c>
      <c r="O504" s="76">
        <f t="shared" si="140"/>
        <v>6.6</v>
      </c>
      <c r="P504" s="57">
        <f t="shared" si="140"/>
        <v>12</v>
      </c>
      <c r="Q504" s="58">
        <f t="shared" si="140"/>
        <v>12</v>
      </c>
      <c r="R504" s="1670"/>
      <c r="S504" s="1673"/>
      <c r="T504" s="1673"/>
      <c r="U504" s="1675"/>
    </row>
    <row r="505" spans="1:23" ht="15" customHeight="1" x14ac:dyDescent="0.2">
      <c r="A505" s="1659"/>
      <c r="B505" s="1661"/>
      <c r="C505" s="1664"/>
      <c r="D505" s="1666"/>
      <c r="E505" s="1668"/>
      <c r="F505" s="1618"/>
      <c r="G505" s="101" t="s">
        <v>130</v>
      </c>
      <c r="H505" s="174">
        <v>12</v>
      </c>
      <c r="I505" s="160"/>
      <c r="J505" s="160"/>
      <c r="K505" s="164">
        <v>12</v>
      </c>
      <c r="L505" s="159">
        <v>6.6</v>
      </c>
      <c r="M505" s="160"/>
      <c r="N505" s="160"/>
      <c r="O505" s="161">
        <v>6.6</v>
      </c>
      <c r="P505" s="162">
        <f>ROUND(12000/1000,1)</f>
        <v>12</v>
      </c>
      <c r="Q505" s="163">
        <f>ROUND(12000/1000,1)</f>
        <v>12</v>
      </c>
      <c r="R505" s="1670"/>
      <c r="S505" s="1673"/>
      <c r="T505" s="1673"/>
      <c r="U505" s="1675"/>
    </row>
    <row r="506" spans="1:23" ht="15" customHeight="1" x14ac:dyDescent="0.2">
      <c r="A506" s="1659"/>
      <c r="B506" s="1661"/>
      <c r="C506" s="1664"/>
      <c r="D506" s="1666"/>
      <c r="E506" s="1668"/>
      <c r="F506" s="1618"/>
      <c r="G506" s="101" t="s">
        <v>71</v>
      </c>
      <c r="H506" s="174"/>
      <c r="I506" s="160"/>
      <c r="J506" s="160"/>
      <c r="K506" s="164"/>
      <c r="L506" s="159"/>
      <c r="M506" s="160"/>
      <c r="N506" s="160"/>
      <c r="O506" s="161"/>
      <c r="P506" s="162"/>
      <c r="Q506" s="163"/>
      <c r="R506" s="1670"/>
      <c r="S506" s="1673"/>
      <c r="T506" s="1673"/>
      <c r="U506" s="1675"/>
    </row>
    <row r="507" spans="1:23" ht="15" customHeight="1" x14ac:dyDescent="0.2">
      <c r="A507" s="1659"/>
      <c r="B507" s="1661"/>
      <c r="C507" s="1664"/>
      <c r="D507" s="1666"/>
      <c r="E507" s="1668"/>
      <c r="F507" s="1618"/>
      <c r="G507" s="23" t="s">
        <v>36</v>
      </c>
      <c r="H507" s="174"/>
      <c r="I507" s="160"/>
      <c r="J507" s="160"/>
      <c r="K507" s="161"/>
      <c r="L507" s="174"/>
      <c r="M507" s="160"/>
      <c r="N507" s="160"/>
      <c r="O507" s="161"/>
      <c r="P507" s="162"/>
      <c r="Q507" s="175"/>
      <c r="R507" s="1670"/>
      <c r="S507" s="1673"/>
      <c r="T507" s="1673"/>
      <c r="U507" s="1675"/>
    </row>
    <row r="508" spans="1:23" ht="15" customHeight="1" x14ac:dyDescent="0.2">
      <c r="A508" s="1659"/>
      <c r="B508" s="1661"/>
      <c r="C508" s="1664"/>
      <c r="D508" s="1666"/>
      <c r="E508" s="1668"/>
      <c r="F508" s="1618"/>
      <c r="G508" s="23" t="s">
        <v>72</v>
      </c>
      <c r="H508" s="174"/>
      <c r="I508" s="160"/>
      <c r="J508" s="160"/>
      <c r="K508" s="161"/>
      <c r="L508" s="174"/>
      <c r="M508" s="160"/>
      <c r="N508" s="160"/>
      <c r="O508" s="161"/>
      <c r="P508" s="162"/>
      <c r="Q508" s="163"/>
      <c r="R508" s="1670"/>
      <c r="S508" s="1673"/>
      <c r="T508" s="1673"/>
      <c r="U508" s="1675"/>
    </row>
    <row r="509" spans="1:23" ht="15" customHeight="1" thickBot="1" x14ac:dyDescent="0.25">
      <c r="A509" s="1659"/>
      <c r="B509" s="1662"/>
      <c r="C509" s="1664"/>
      <c r="D509" s="1666"/>
      <c r="E509" s="1668"/>
      <c r="F509" s="1619"/>
      <c r="G509" s="24" t="s">
        <v>13</v>
      </c>
      <c r="H509" s="25">
        <f>+H502+H503+H504+H507+H508</f>
        <v>21.5</v>
      </c>
      <c r="I509" s="26">
        <f t="shared" ref="I509:Q509" si="141">+I502+I503+I504+I507+I508</f>
        <v>0</v>
      </c>
      <c r="J509" s="26">
        <f t="shared" si="141"/>
        <v>0</v>
      </c>
      <c r="K509" s="27">
        <f t="shared" si="141"/>
        <v>21.5</v>
      </c>
      <c r="L509" s="28">
        <f t="shared" si="141"/>
        <v>16.100000000000001</v>
      </c>
      <c r="M509" s="29">
        <f t="shared" si="141"/>
        <v>0</v>
      </c>
      <c r="N509" s="30">
        <f t="shared" si="141"/>
        <v>0</v>
      </c>
      <c r="O509" s="31">
        <f t="shared" si="141"/>
        <v>16.100000000000001</v>
      </c>
      <c r="P509" s="28">
        <f t="shared" si="141"/>
        <v>12</v>
      </c>
      <c r="Q509" s="25">
        <f t="shared" si="141"/>
        <v>12</v>
      </c>
      <c r="R509" s="1671"/>
      <c r="S509" s="120">
        <f>SUM(S502)</f>
        <v>1</v>
      </c>
      <c r="T509" s="120">
        <f>SUM(T502)</f>
        <v>1</v>
      </c>
      <c r="U509" s="121"/>
    </row>
    <row r="510" spans="1:23" ht="15" customHeight="1" thickBot="1" x14ac:dyDescent="0.25">
      <c r="A510" s="9" t="s">
        <v>17</v>
      </c>
      <c r="B510" s="222" t="s">
        <v>21</v>
      </c>
      <c r="C510" s="1623" t="s">
        <v>49</v>
      </c>
      <c r="D510" s="1623"/>
      <c r="E510" s="1623"/>
      <c r="F510" s="1623"/>
      <c r="G510" s="1624"/>
      <c r="H510" s="45">
        <f>+H509</f>
        <v>21.5</v>
      </c>
      <c r="I510" s="222">
        <f t="shared" ref="I510:Q510" si="142">+I509</f>
        <v>0</v>
      </c>
      <c r="J510" s="222">
        <f t="shared" si="142"/>
        <v>0</v>
      </c>
      <c r="K510" s="46">
        <f t="shared" si="142"/>
        <v>21.5</v>
      </c>
      <c r="L510" s="45">
        <f>+L509</f>
        <v>16.100000000000001</v>
      </c>
      <c r="M510" s="222">
        <f t="shared" si="142"/>
        <v>0</v>
      </c>
      <c r="N510" s="222">
        <f t="shared" si="142"/>
        <v>0</v>
      </c>
      <c r="O510" s="46">
        <f t="shared" si="142"/>
        <v>16.100000000000001</v>
      </c>
      <c r="P510" s="71">
        <f t="shared" si="142"/>
        <v>12</v>
      </c>
      <c r="Q510" s="59">
        <f t="shared" si="142"/>
        <v>12</v>
      </c>
      <c r="R510" s="67" t="s">
        <v>23</v>
      </c>
      <c r="S510" s="66" t="s">
        <v>23</v>
      </c>
      <c r="T510" s="214" t="s">
        <v>23</v>
      </c>
      <c r="U510" s="68" t="s">
        <v>23</v>
      </c>
      <c r="V510" s="2"/>
      <c r="W510" s="2"/>
    </row>
    <row r="511" spans="1:23" ht="15" customHeight="1" thickBot="1" x14ac:dyDescent="0.25">
      <c r="A511" s="9" t="s">
        <v>17</v>
      </c>
      <c r="B511" s="222" t="s">
        <v>22</v>
      </c>
      <c r="C511" s="1630" t="s">
        <v>60</v>
      </c>
      <c r="D511" s="1631"/>
      <c r="E511" s="1631"/>
      <c r="F511" s="1631"/>
      <c r="G511" s="1631"/>
      <c r="H511" s="1632"/>
      <c r="I511" s="1632"/>
      <c r="J511" s="1632"/>
      <c r="K511" s="1632"/>
      <c r="L511" s="1632"/>
      <c r="M511" s="1632"/>
      <c r="N511" s="1632"/>
      <c r="O511" s="1632"/>
      <c r="P511" s="1632"/>
      <c r="Q511" s="1632"/>
      <c r="R511" s="1632"/>
      <c r="S511" s="1632"/>
      <c r="T511" s="1632"/>
      <c r="U511" s="1633"/>
      <c r="V511" s="2"/>
      <c r="W511" s="2"/>
    </row>
    <row r="512" spans="1:23" ht="15" customHeight="1" x14ac:dyDescent="0.2">
      <c r="A512" s="1634" t="s">
        <v>17</v>
      </c>
      <c r="B512" s="1635" t="s">
        <v>22</v>
      </c>
      <c r="C512" s="1636">
        <v>4</v>
      </c>
      <c r="D512" s="1637" t="s">
        <v>108</v>
      </c>
      <c r="E512" s="1615" t="s">
        <v>61</v>
      </c>
      <c r="F512" s="1618">
        <v>1</v>
      </c>
      <c r="G512" s="77" t="s">
        <v>30</v>
      </c>
      <c r="H512" s="11"/>
      <c r="I512" s="738"/>
      <c r="J512" s="738"/>
      <c r="K512" s="740"/>
      <c r="L512" s="11"/>
      <c r="M512" s="738"/>
      <c r="N512" s="738"/>
      <c r="O512" s="740"/>
      <c r="P512" s="22">
        <f>ROUND(14291/1000,1)</f>
        <v>14.3</v>
      </c>
      <c r="Q512" s="102">
        <f>ROUND(42874/1000,1)</f>
        <v>42.9</v>
      </c>
      <c r="R512" s="1645" t="s">
        <v>134</v>
      </c>
      <c r="S512" s="1646"/>
      <c r="T512" s="1646"/>
      <c r="U512" s="1640" t="s">
        <v>598</v>
      </c>
      <c r="V512" s="2"/>
      <c r="W512" s="2"/>
    </row>
    <row r="513" spans="1:23" ht="15" customHeight="1" x14ac:dyDescent="0.2">
      <c r="A513" s="1603"/>
      <c r="B513" s="1606"/>
      <c r="C513" s="1609"/>
      <c r="D513" s="1637"/>
      <c r="E513" s="1616"/>
      <c r="F513" s="1618"/>
      <c r="G513" s="77" t="s">
        <v>73</v>
      </c>
      <c r="H513" s="191"/>
      <c r="I513" s="734"/>
      <c r="J513" s="734"/>
      <c r="K513" s="735"/>
      <c r="L513" s="191"/>
      <c r="M513" s="734"/>
      <c r="N513" s="734"/>
      <c r="O513" s="735"/>
      <c r="P513" s="22"/>
      <c r="Q513" s="21"/>
      <c r="R513" s="1641"/>
      <c r="S513" s="1647"/>
      <c r="T513" s="1647"/>
      <c r="U513" s="1640"/>
      <c r="V513" s="2"/>
      <c r="W513" s="2"/>
    </row>
    <row r="514" spans="1:23" ht="15" customHeight="1" x14ac:dyDescent="0.2">
      <c r="A514" s="1603"/>
      <c r="B514" s="1606"/>
      <c r="C514" s="1609"/>
      <c r="D514" s="1637"/>
      <c r="E514" s="1616"/>
      <c r="F514" s="1618"/>
      <c r="G514" s="36" t="s">
        <v>59</v>
      </c>
      <c r="H514" s="16">
        <f>+H515+H516</f>
        <v>8</v>
      </c>
      <c r="I514" s="17">
        <f t="shared" ref="I514:Q514" si="143">+I515+I516</f>
        <v>0</v>
      </c>
      <c r="J514" s="17">
        <f t="shared" si="143"/>
        <v>0</v>
      </c>
      <c r="K514" s="19">
        <f t="shared" si="143"/>
        <v>8</v>
      </c>
      <c r="L514" s="16">
        <f t="shared" si="143"/>
        <v>3.8</v>
      </c>
      <c r="M514" s="17">
        <f t="shared" si="143"/>
        <v>0</v>
      </c>
      <c r="N514" s="17">
        <f t="shared" si="143"/>
        <v>0</v>
      </c>
      <c r="O514" s="19">
        <f t="shared" si="143"/>
        <v>3.8</v>
      </c>
      <c r="P514" s="54">
        <f t="shared" si="143"/>
        <v>2.5</v>
      </c>
      <c r="Q514" s="37">
        <f t="shared" si="143"/>
        <v>7.6</v>
      </c>
      <c r="R514" s="1641"/>
      <c r="S514" s="1647"/>
      <c r="T514" s="1647"/>
      <c r="U514" s="1640"/>
      <c r="V514" s="2"/>
      <c r="W514" s="2"/>
    </row>
    <row r="515" spans="1:23" ht="15" customHeight="1" x14ac:dyDescent="0.2">
      <c r="A515" s="1603"/>
      <c r="B515" s="1606"/>
      <c r="C515" s="1609"/>
      <c r="D515" s="1637"/>
      <c r="E515" s="1616"/>
      <c r="F515" s="1618"/>
      <c r="G515" s="101" t="s">
        <v>130</v>
      </c>
      <c r="H515" s="191"/>
      <c r="I515" s="734"/>
      <c r="J515" s="734"/>
      <c r="K515" s="735"/>
      <c r="L515" s="123"/>
      <c r="M515" s="124"/>
      <c r="N515" s="124"/>
      <c r="O515" s="125"/>
      <c r="P515" s="22">
        <f>ROUND(2522/1000,1)</f>
        <v>2.5</v>
      </c>
      <c r="Q515" s="21">
        <f>ROUND(7566/1000,1)</f>
        <v>7.6</v>
      </c>
      <c r="R515" s="1641"/>
      <c r="S515" s="1647"/>
      <c r="T515" s="1647"/>
      <c r="U515" s="1640"/>
      <c r="V515" s="2"/>
      <c r="W515" s="2"/>
    </row>
    <row r="516" spans="1:23" ht="15" customHeight="1" x14ac:dyDescent="0.2">
      <c r="A516" s="1603"/>
      <c r="B516" s="1606"/>
      <c r="C516" s="1609"/>
      <c r="D516" s="1638"/>
      <c r="E516" s="1616"/>
      <c r="F516" s="1618"/>
      <c r="G516" s="101" t="s">
        <v>71</v>
      </c>
      <c r="H516" s="191">
        <v>8</v>
      </c>
      <c r="I516" s="124"/>
      <c r="J516" s="124"/>
      <c r="K516" s="735">
        <v>8</v>
      </c>
      <c r="L516" s="191">
        <v>3.8</v>
      </c>
      <c r="M516" s="734"/>
      <c r="N516" s="734"/>
      <c r="O516" s="735">
        <v>3.8</v>
      </c>
      <c r="P516" s="22"/>
      <c r="Q516" s="21"/>
      <c r="R516" s="1641"/>
      <c r="S516" s="1647"/>
      <c r="T516" s="1647"/>
      <c r="U516" s="1640"/>
      <c r="V516" s="2"/>
      <c r="W516" s="2"/>
    </row>
    <row r="517" spans="1:23" ht="15" customHeight="1" x14ac:dyDescent="0.2">
      <c r="A517" s="1603"/>
      <c r="B517" s="1606"/>
      <c r="C517" s="1609"/>
      <c r="D517" s="1638"/>
      <c r="E517" s="1616"/>
      <c r="F517" s="1618"/>
      <c r="G517" s="23" t="s">
        <v>36</v>
      </c>
      <c r="H517" s="191"/>
      <c r="I517" s="734"/>
      <c r="J517" s="734"/>
      <c r="K517" s="735"/>
      <c r="L517" s="191"/>
      <c r="M517" s="734"/>
      <c r="N517" s="734"/>
      <c r="O517" s="735"/>
      <c r="P517" s="22"/>
      <c r="Q517" s="21"/>
      <c r="R517" s="1641"/>
      <c r="S517" s="1647"/>
      <c r="T517" s="1647"/>
      <c r="U517" s="1640"/>
      <c r="V517" s="2"/>
      <c r="W517" s="2"/>
    </row>
    <row r="518" spans="1:23" ht="15" customHeight="1" x14ac:dyDescent="0.2">
      <c r="A518" s="1603"/>
      <c r="B518" s="1606"/>
      <c r="C518" s="1609"/>
      <c r="D518" s="1638"/>
      <c r="E518" s="1616"/>
      <c r="F518" s="1618"/>
      <c r="G518" s="23" t="s">
        <v>72</v>
      </c>
      <c r="H518" s="191"/>
      <c r="I518" s="734"/>
      <c r="J518" s="734"/>
      <c r="K518" s="735"/>
      <c r="L518" s="191"/>
      <c r="M518" s="734"/>
      <c r="N518" s="734"/>
      <c r="O518" s="735"/>
      <c r="P518" s="22"/>
      <c r="Q518" s="21"/>
      <c r="R518" s="1641"/>
      <c r="S518" s="1647"/>
      <c r="T518" s="1647"/>
      <c r="U518" s="1640"/>
      <c r="V518" s="2"/>
      <c r="W518" s="2"/>
    </row>
    <row r="519" spans="1:23" ht="16.5" customHeight="1" x14ac:dyDescent="0.2">
      <c r="A519" s="1634"/>
      <c r="B519" s="1635"/>
      <c r="C519" s="1636"/>
      <c r="D519" s="1637"/>
      <c r="E519" s="1639"/>
      <c r="F519" s="1619"/>
      <c r="G519" s="24" t="s">
        <v>13</v>
      </c>
      <c r="H519" s="28">
        <f>+H512+H513+H514+H517+H518</f>
        <v>8</v>
      </c>
      <c r="I519" s="26">
        <f t="shared" ref="I519:Q519" si="144">+I512+I513+I514+I517+I518</f>
        <v>0</v>
      </c>
      <c r="J519" s="26">
        <f t="shared" si="144"/>
        <v>0</v>
      </c>
      <c r="K519" s="31">
        <f t="shared" si="144"/>
        <v>8</v>
      </c>
      <c r="L519" s="28">
        <f t="shared" si="144"/>
        <v>3.8</v>
      </c>
      <c r="M519" s="26">
        <f t="shared" si="144"/>
        <v>0</v>
      </c>
      <c r="N519" s="26">
        <f t="shared" si="144"/>
        <v>0</v>
      </c>
      <c r="O519" s="31">
        <f t="shared" si="144"/>
        <v>3.8</v>
      </c>
      <c r="P519" s="29">
        <f t="shared" si="144"/>
        <v>16.8</v>
      </c>
      <c r="Q519" s="25">
        <f t="shared" si="144"/>
        <v>50.5</v>
      </c>
      <c r="R519" s="1641"/>
      <c r="S519" s="26"/>
      <c r="T519" s="26"/>
      <c r="U519" s="31"/>
      <c r="V519" s="2"/>
      <c r="W519" s="2"/>
    </row>
    <row r="520" spans="1:23" ht="15" customHeight="1" x14ac:dyDescent="0.2">
      <c r="A520" s="1603" t="s">
        <v>17</v>
      </c>
      <c r="B520" s="1606" t="s">
        <v>22</v>
      </c>
      <c r="C520" s="1609">
        <v>5</v>
      </c>
      <c r="D520" s="1612" t="s">
        <v>123</v>
      </c>
      <c r="E520" s="1615" t="s">
        <v>61</v>
      </c>
      <c r="F520" s="1618">
        <v>1</v>
      </c>
      <c r="G520" s="77" t="s">
        <v>30</v>
      </c>
      <c r="H520" s="141"/>
      <c r="I520" s="142"/>
      <c r="J520" s="142"/>
      <c r="K520" s="143"/>
      <c r="L520" s="141"/>
      <c r="M520" s="142"/>
      <c r="N520" s="142"/>
      <c r="O520" s="143"/>
      <c r="P520" s="175">
        <v>54.6</v>
      </c>
      <c r="Q520" s="163">
        <v>54.7</v>
      </c>
      <c r="R520" s="1641" t="s">
        <v>125</v>
      </c>
      <c r="S520" s="1642"/>
      <c r="T520" s="1642"/>
      <c r="U520" s="1643"/>
      <c r="V520" s="2"/>
      <c r="W520" s="2"/>
    </row>
    <row r="521" spans="1:23" ht="15" customHeight="1" x14ac:dyDescent="0.2">
      <c r="A521" s="1604"/>
      <c r="B521" s="1607"/>
      <c r="C521" s="1610"/>
      <c r="D521" s="1613"/>
      <c r="E521" s="1616"/>
      <c r="F521" s="1618"/>
      <c r="G521" s="77" t="s">
        <v>73</v>
      </c>
      <c r="H521" s="141"/>
      <c r="I521" s="142"/>
      <c r="J521" s="142"/>
      <c r="K521" s="143"/>
      <c r="L521" s="141"/>
      <c r="M521" s="142"/>
      <c r="N521" s="142"/>
      <c r="O521" s="143"/>
      <c r="P521" s="175"/>
      <c r="Q521" s="163"/>
      <c r="R521" s="1641"/>
      <c r="S521" s="1642"/>
      <c r="T521" s="1642"/>
      <c r="U521" s="1643"/>
      <c r="V521" s="2"/>
      <c r="W521" s="2"/>
    </row>
    <row r="522" spans="1:23" ht="15" customHeight="1" x14ac:dyDescent="0.2">
      <c r="A522" s="1604"/>
      <c r="B522" s="1607"/>
      <c r="C522" s="1610"/>
      <c r="D522" s="1613"/>
      <c r="E522" s="1616"/>
      <c r="F522" s="1618"/>
      <c r="G522" s="36" t="s">
        <v>59</v>
      </c>
      <c r="H522" s="176">
        <f>+H523+H524</f>
        <v>8</v>
      </c>
      <c r="I522" s="152">
        <f t="shared" ref="I522:Q522" si="145">+I523+I524</f>
        <v>0</v>
      </c>
      <c r="J522" s="152">
        <f t="shared" si="145"/>
        <v>0</v>
      </c>
      <c r="K522" s="177">
        <f t="shared" si="145"/>
        <v>8</v>
      </c>
      <c r="L522" s="176">
        <f t="shared" si="145"/>
        <v>3.8</v>
      </c>
      <c r="M522" s="152">
        <f t="shared" si="145"/>
        <v>0</v>
      </c>
      <c r="N522" s="152">
        <f t="shared" si="145"/>
        <v>0</v>
      </c>
      <c r="O522" s="177">
        <f t="shared" si="145"/>
        <v>3.8</v>
      </c>
      <c r="P522" s="178">
        <f t="shared" si="145"/>
        <v>4.8</v>
      </c>
      <c r="Q522" s="179">
        <f t="shared" si="145"/>
        <v>4.9000000000000004</v>
      </c>
      <c r="R522" s="1641"/>
      <c r="S522" s="1642"/>
      <c r="T522" s="1642"/>
      <c r="U522" s="1643"/>
      <c r="V522" s="2"/>
      <c r="W522" s="2"/>
    </row>
    <row r="523" spans="1:23" ht="15" customHeight="1" x14ac:dyDescent="0.2">
      <c r="A523" s="1604"/>
      <c r="B523" s="1607"/>
      <c r="C523" s="1610"/>
      <c r="D523" s="1613"/>
      <c r="E523" s="1616"/>
      <c r="F523" s="1618"/>
      <c r="G523" s="101" t="s">
        <v>130</v>
      </c>
      <c r="H523" s="141"/>
      <c r="I523" s="142"/>
      <c r="J523" s="142"/>
      <c r="K523" s="143"/>
      <c r="L523" s="141"/>
      <c r="M523" s="142"/>
      <c r="N523" s="142"/>
      <c r="O523" s="143"/>
      <c r="P523" s="187">
        <v>4.8</v>
      </c>
      <c r="Q523" s="158">
        <v>4.9000000000000004</v>
      </c>
      <c r="R523" s="1641"/>
      <c r="S523" s="1642"/>
      <c r="T523" s="1642"/>
      <c r="U523" s="1643"/>
      <c r="V523" s="2"/>
      <c r="W523" s="2"/>
    </row>
    <row r="524" spans="1:23" ht="15" customHeight="1" x14ac:dyDescent="0.2">
      <c r="A524" s="1604"/>
      <c r="B524" s="1607"/>
      <c r="C524" s="1610"/>
      <c r="D524" s="1613"/>
      <c r="E524" s="1616"/>
      <c r="F524" s="1618"/>
      <c r="G524" s="101" t="s">
        <v>71</v>
      </c>
      <c r="H524" s="141">
        <v>8</v>
      </c>
      <c r="I524" s="142"/>
      <c r="J524" s="142"/>
      <c r="K524" s="143">
        <v>8</v>
      </c>
      <c r="L524" s="141">
        <v>3.8</v>
      </c>
      <c r="M524" s="142"/>
      <c r="N524" s="142"/>
      <c r="O524" s="143">
        <v>3.8</v>
      </c>
      <c r="P524" s="187"/>
      <c r="Q524" s="158"/>
      <c r="R524" s="1641"/>
      <c r="S524" s="1642"/>
      <c r="T524" s="1642"/>
      <c r="U524" s="1643"/>
      <c r="V524" s="2"/>
      <c r="W524" s="2"/>
    </row>
    <row r="525" spans="1:23" ht="15" customHeight="1" x14ac:dyDescent="0.2">
      <c r="A525" s="1604"/>
      <c r="B525" s="1607"/>
      <c r="C525" s="1610"/>
      <c r="D525" s="1613"/>
      <c r="E525" s="1616"/>
      <c r="F525" s="1618"/>
      <c r="G525" s="23" t="s">
        <v>36</v>
      </c>
      <c r="H525" s="141"/>
      <c r="I525" s="142"/>
      <c r="J525" s="142"/>
      <c r="K525" s="143"/>
      <c r="L525" s="141"/>
      <c r="M525" s="142"/>
      <c r="N525" s="142"/>
      <c r="O525" s="143"/>
      <c r="P525" s="180"/>
      <c r="Q525" s="181"/>
      <c r="R525" s="1641" t="s">
        <v>124</v>
      </c>
      <c r="S525" s="1642"/>
      <c r="T525" s="1642"/>
      <c r="U525" s="1643"/>
      <c r="V525" s="2"/>
      <c r="W525" s="2"/>
    </row>
    <row r="526" spans="1:23" ht="15" customHeight="1" x14ac:dyDescent="0.2">
      <c r="A526" s="1604"/>
      <c r="B526" s="1607"/>
      <c r="C526" s="1610"/>
      <c r="D526" s="1613"/>
      <c r="E526" s="1616"/>
      <c r="F526" s="1618"/>
      <c r="G526" s="23" t="s">
        <v>72</v>
      </c>
      <c r="H526" s="141"/>
      <c r="I526" s="142"/>
      <c r="J526" s="142"/>
      <c r="K526" s="143"/>
      <c r="L526" s="141"/>
      <c r="M526" s="142"/>
      <c r="N526" s="142"/>
      <c r="O526" s="143"/>
      <c r="P526" s="180"/>
      <c r="Q526" s="181"/>
      <c r="R526" s="1641"/>
      <c r="S526" s="1642"/>
      <c r="T526" s="1642"/>
      <c r="U526" s="1643"/>
      <c r="V526" s="2"/>
      <c r="W526" s="2"/>
    </row>
    <row r="527" spans="1:23" ht="15" customHeight="1" thickBot="1" x14ac:dyDescent="0.25">
      <c r="A527" s="1605"/>
      <c r="B527" s="1608"/>
      <c r="C527" s="1611"/>
      <c r="D527" s="1614"/>
      <c r="E527" s="1617"/>
      <c r="F527" s="1619"/>
      <c r="G527" s="38" t="s">
        <v>13</v>
      </c>
      <c r="H527" s="182">
        <f>+H520+H521+H522+H525+H526</f>
        <v>8</v>
      </c>
      <c r="I527" s="183">
        <f t="shared" ref="I527:Q527" si="146">+I520+I521+I522+I525+I526</f>
        <v>0</v>
      </c>
      <c r="J527" s="183">
        <f t="shared" si="146"/>
        <v>0</v>
      </c>
      <c r="K527" s="184">
        <f t="shared" si="146"/>
        <v>8</v>
      </c>
      <c r="L527" s="182">
        <f t="shared" si="146"/>
        <v>3.8</v>
      </c>
      <c r="M527" s="183">
        <f t="shared" si="146"/>
        <v>0</v>
      </c>
      <c r="N527" s="183">
        <f t="shared" si="146"/>
        <v>0</v>
      </c>
      <c r="O527" s="184">
        <f t="shared" si="146"/>
        <v>3.8</v>
      </c>
      <c r="P527" s="185">
        <f t="shared" si="146"/>
        <v>59.4</v>
      </c>
      <c r="Q527" s="186">
        <f t="shared" si="146"/>
        <v>59.6</v>
      </c>
      <c r="R527" s="1644"/>
      <c r="S527" s="40"/>
      <c r="T527" s="40"/>
      <c r="U527" s="42"/>
      <c r="V527" s="2"/>
      <c r="W527" s="2"/>
    </row>
    <row r="528" spans="1:23" s="210" customFormat="1" ht="15" customHeight="1" thickBot="1" x14ac:dyDescent="0.25">
      <c r="A528" s="9" t="s">
        <v>17</v>
      </c>
      <c r="B528" s="222" t="s">
        <v>22</v>
      </c>
      <c r="C528" s="1623" t="s">
        <v>49</v>
      </c>
      <c r="D528" s="1623"/>
      <c r="E528" s="1623"/>
      <c r="F528" s="1623"/>
      <c r="G528" s="1624"/>
      <c r="H528" s="134">
        <f>H519+H527</f>
        <v>16</v>
      </c>
      <c r="I528" s="105">
        <f t="shared" ref="I528:Q528" si="147">I519+I527</f>
        <v>0</v>
      </c>
      <c r="J528" s="105">
        <f t="shared" si="147"/>
        <v>0</v>
      </c>
      <c r="K528" s="135">
        <f t="shared" si="147"/>
        <v>16</v>
      </c>
      <c r="L528" s="134">
        <f t="shared" si="147"/>
        <v>7.6</v>
      </c>
      <c r="M528" s="105">
        <f t="shared" si="147"/>
        <v>0</v>
      </c>
      <c r="N528" s="105">
        <f t="shared" si="147"/>
        <v>0</v>
      </c>
      <c r="O528" s="135">
        <f t="shared" si="147"/>
        <v>7.6</v>
      </c>
      <c r="P528" s="136">
        <f t="shared" si="147"/>
        <v>76.2</v>
      </c>
      <c r="Q528" s="136">
        <f t="shared" si="147"/>
        <v>110.1</v>
      </c>
      <c r="R528" s="134" t="s">
        <v>23</v>
      </c>
      <c r="S528" s="105" t="s">
        <v>23</v>
      </c>
      <c r="T528" s="105" t="s">
        <v>23</v>
      </c>
      <c r="U528" s="135" t="s">
        <v>23</v>
      </c>
    </row>
    <row r="529" spans="1:21" ht="15" customHeight="1" thickBot="1" x14ac:dyDescent="0.25">
      <c r="A529" s="78" t="s">
        <v>17</v>
      </c>
      <c r="B529" s="1625" t="s">
        <v>15</v>
      </c>
      <c r="C529" s="1626"/>
      <c r="D529" s="1626"/>
      <c r="E529" s="1626"/>
      <c r="F529" s="1626"/>
      <c r="G529" s="1626"/>
      <c r="H529" s="78">
        <f>+H54+H184+H394+H500+H510+H528</f>
        <v>1711</v>
      </c>
      <c r="I529" s="137">
        <f t="shared" ref="I529:Q529" si="148">+I54+I184+I394+I500+I510+I528</f>
        <v>459.90000000000003</v>
      </c>
      <c r="J529" s="137">
        <f t="shared" si="148"/>
        <v>0</v>
      </c>
      <c r="K529" s="138">
        <f t="shared" si="148"/>
        <v>1251.1000000000001</v>
      </c>
      <c r="L529" s="78">
        <f t="shared" si="148"/>
        <v>1591.2999999999997</v>
      </c>
      <c r="M529" s="78">
        <f t="shared" si="148"/>
        <v>417.5</v>
      </c>
      <c r="N529" s="78">
        <f t="shared" si="148"/>
        <v>0</v>
      </c>
      <c r="O529" s="78">
        <f t="shared" si="148"/>
        <v>1173.7999999999997</v>
      </c>
      <c r="P529" s="78">
        <f t="shared" si="148"/>
        <v>6804.74</v>
      </c>
      <c r="Q529" s="78">
        <f t="shared" si="148"/>
        <v>5846.4000000000015</v>
      </c>
      <c r="R529" s="79" t="s">
        <v>23</v>
      </c>
      <c r="S529" s="80" t="s">
        <v>23</v>
      </c>
      <c r="T529" s="80" t="s">
        <v>23</v>
      </c>
      <c r="U529" s="81" t="s">
        <v>23</v>
      </c>
    </row>
    <row r="530" spans="1:21" ht="15" customHeight="1" thickBot="1" x14ac:dyDescent="0.25">
      <c r="A530" s="1627" t="s">
        <v>16</v>
      </c>
      <c r="B530" s="1628"/>
      <c r="C530" s="1628"/>
      <c r="D530" s="1628"/>
      <c r="E530" s="1628"/>
      <c r="F530" s="1628"/>
      <c r="G530" s="1628"/>
      <c r="H530" s="83">
        <f>SUM(H529)</f>
        <v>1711</v>
      </c>
      <c r="I530" s="82">
        <f t="shared" ref="I530:Q530" si="149">SUM(I529)</f>
        <v>459.90000000000003</v>
      </c>
      <c r="J530" s="82">
        <f t="shared" si="149"/>
        <v>0</v>
      </c>
      <c r="K530" s="84">
        <f t="shared" si="149"/>
        <v>1251.1000000000001</v>
      </c>
      <c r="L530" s="83">
        <f t="shared" si="149"/>
        <v>1591.2999999999997</v>
      </c>
      <c r="M530" s="83">
        <f t="shared" si="149"/>
        <v>417.5</v>
      </c>
      <c r="N530" s="83">
        <f t="shared" si="149"/>
        <v>0</v>
      </c>
      <c r="O530" s="83">
        <f t="shared" si="149"/>
        <v>1173.7999999999997</v>
      </c>
      <c r="P530" s="83">
        <f t="shared" si="149"/>
        <v>6804.74</v>
      </c>
      <c r="Q530" s="83">
        <f t="shared" si="149"/>
        <v>5846.4000000000015</v>
      </c>
      <c r="R530" s="83" t="s">
        <v>23</v>
      </c>
      <c r="S530" s="82" t="s">
        <v>23</v>
      </c>
      <c r="T530" s="82" t="s">
        <v>23</v>
      </c>
      <c r="U530" s="84" t="s">
        <v>23</v>
      </c>
    </row>
    <row r="531" spans="1:21" x14ac:dyDescent="0.2">
      <c r="A531" s="85"/>
      <c r="B531" s="85"/>
      <c r="C531" s="85"/>
      <c r="D531" s="86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7"/>
    </row>
    <row r="532" spans="1:21" ht="26.25" customHeight="1" x14ac:dyDescent="0.2">
      <c r="A532" s="739"/>
      <c r="B532" s="739"/>
      <c r="C532" s="85"/>
      <c r="D532" s="86"/>
      <c r="E532" s="85"/>
      <c r="F532" s="85"/>
      <c r="G532" s="85"/>
      <c r="H532" s="739"/>
      <c r="I532" s="739"/>
      <c r="J532" s="739"/>
      <c r="K532" s="739"/>
      <c r="L532" s="739"/>
      <c r="M532" s="739"/>
      <c r="N532" s="739"/>
      <c r="O532" s="739"/>
      <c r="P532" s="88"/>
      <c r="Q532" s="739"/>
      <c r="R532" s="739"/>
      <c r="S532" s="223"/>
      <c r="T532" s="48"/>
      <c r="U532" s="48"/>
    </row>
    <row r="533" spans="1:21" ht="11.25" customHeight="1" x14ac:dyDescent="0.2">
      <c r="A533" s="868"/>
      <c r="B533" s="868"/>
      <c r="C533" s="1621"/>
      <c r="D533" s="1621"/>
      <c r="E533" s="1621"/>
      <c r="F533" s="1621"/>
      <c r="G533" s="85"/>
      <c r="H533" s="863"/>
      <c r="I533" s="863"/>
      <c r="J533" s="863"/>
      <c r="K533" s="863"/>
      <c r="L533" s="863"/>
      <c r="M533" s="863"/>
      <c r="N533" s="863"/>
      <c r="O533" s="863"/>
      <c r="P533" s="863"/>
      <c r="Q533" s="863"/>
      <c r="R533" s="88"/>
      <c r="S533" s="88"/>
      <c r="T533" s="88"/>
      <c r="U533" s="88"/>
    </row>
    <row r="534" spans="1:21" ht="25.5" customHeight="1" x14ac:dyDescent="0.2">
      <c r="A534" s="868"/>
      <c r="B534" s="868"/>
      <c r="C534" s="869" t="s">
        <v>599</v>
      </c>
      <c r="D534" s="869"/>
      <c r="E534" s="869"/>
      <c r="F534" s="869"/>
      <c r="G534" s="870"/>
      <c r="H534" s="871"/>
      <c r="I534" s="871"/>
      <c r="J534" s="871"/>
      <c r="K534" s="871"/>
      <c r="L534" s="871"/>
      <c r="M534" s="871"/>
      <c r="N534" s="871"/>
      <c r="O534" s="871"/>
      <c r="P534" s="871"/>
      <c r="Q534" s="871"/>
      <c r="R534" s="872"/>
      <c r="S534" s="88"/>
      <c r="T534" s="88"/>
      <c r="U534" s="88"/>
    </row>
    <row r="535" spans="1:21" ht="11.25" customHeight="1" x14ac:dyDescent="0.2">
      <c r="A535" s="868"/>
      <c r="B535" s="868"/>
      <c r="C535" s="1622"/>
      <c r="D535" s="1622"/>
      <c r="E535" s="1622"/>
      <c r="F535" s="1622"/>
      <c r="G535" s="864"/>
      <c r="H535" s="863"/>
      <c r="I535" s="863"/>
      <c r="J535" s="863"/>
      <c r="K535" s="863"/>
      <c r="L535" s="863"/>
      <c r="M535" s="863"/>
      <c r="N535" s="863"/>
      <c r="O535" s="863"/>
      <c r="P535" s="863"/>
      <c r="Q535" s="863"/>
      <c r="R535" s="88"/>
      <c r="S535" s="88"/>
      <c r="T535" s="88"/>
      <c r="U535" s="88"/>
    </row>
    <row r="536" spans="1:21" ht="26.25" customHeight="1" x14ac:dyDescent="0.2">
      <c r="A536" s="868"/>
      <c r="B536" s="868"/>
      <c r="C536" s="1629"/>
      <c r="D536" s="1629"/>
      <c r="E536" s="1629"/>
      <c r="F536" s="1629"/>
      <c r="G536" s="865"/>
      <c r="H536" s="866"/>
      <c r="I536" s="866"/>
      <c r="J536" s="866"/>
      <c r="K536" s="866"/>
      <c r="L536" s="866"/>
      <c r="M536" s="866"/>
      <c r="N536" s="866"/>
      <c r="O536" s="866"/>
      <c r="P536" s="866"/>
      <c r="Q536" s="866"/>
      <c r="R536" s="88"/>
      <c r="S536" s="88"/>
      <c r="T536" s="88"/>
      <c r="U536" s="88"/>
    </row>
    <row r="537" spans="1:21" ht="24" customHeight="1" x14ac:dyDescent="0.2">
      <c r="A537" s="868"/>
      <c r="B537" s="868"/>
      <c r="C537" s="1629"/>
      <c r="D537" s="1629"/>
      <c r="E537" s="1629"/>
      <c r="F537" s="1629"/>
      <c r="G537" s="865"/>
      <c r="H537" s="866"/>
      <c r="I537" s="866"/>
      <c r="J537" s="866"/>
      <c r="K537" s="866"/>
      <c r="L537" s="866"/>
      <c r="M537" s="866"/>
      <c r="N537" s="866"/>
      <c r="O537" s="866"/>
      <c r="P537" s="866"/>
      <c r="Q537" s="866"/>
      <c r="R537" s="88"/>
      <c r="S537" s="88"/>
      <c r="T537" s="88"/>
      <c r="U537" s="88"/>
    </row>
    <row r="538" spans="1:21" ht="24" customHeight="1" x14ac:dyDescent="0.2">
      <c r="A538" s="868"/>
      <c r="B538" s="868"/>
      <c r="C538" s="1621"/>
      <c r="D538" s="1621"/>
      <c r="E538" s="1621"/>
      <c r="F538" s="1621"/>
      <c r="G538" s="85"/>
      <c r="H538" s="863"/>
      <c r="I538" s="863"/>
      <c r="J538" s="863"/>
      <c r="K538" s="863"/>
      <c r="L538" s="863"/>
      <c r="M538" s="863"/>
      <c r="N538" s="863"/>
      <c r="O538" s="863"/>
      <c r="P538" s="863"/>
      <c r="Q538" s="863"/>
      <c r="R538" s="88"/>
      <c r="S538" s="88"/>
      <c r="T538" s="88"/>
      <c r="U538" s="88"/>
    </row>
    <row r="539" spans="1:21" ht="11.25" customHeight="1" x14ac:dyDescent="0.2">
      <c r="A539" s="868"/>
      <c r="B539" s="868"/>
      <c r="C539" s="1621"/>
      <c r="D539" s="1621"/>
      <c r="E539" s="1621"/>
      <c r="F539" s="1621"/>
      <c r="G539" s="85"/>
      <c r="H539" s="863"/>
      <c r="I539" s="863"/>
      <c r="J539" s="863"/>
      <c r="K539" s="863"/>
      <c r="L539" s="863"/>
      <c r="M539" s="863"/>
      <c r="N539" s="863"/>
      <c r="O539" s="863"/>
      <c r="P539" s="863"/>
      <c r="Q539" s="863"/>
      <c r="R539" s="88"/>
      <c r="S539" s="88"/>
      <c r="T539" s="88"/>
      <c r="U539" s="88"/>
    </row>
    <row r="540" spans="1:21" x14ac:dyDescent="0.2">
      <c r="A540" s="868"/>
      <c r="B540" s="868"/>
      <c r="C540" s="1620"/>
      <c r="D540" s="1620"/>
      <c r="E540" s="1620"/>
      <c r="F540" s="1620"/>
      <c r="G540" s="1620"/>
      <c r="H540" s="867"/>
      <c r="I540" s="867"/>
      <c r="J540" s="867"/>
      <c r="K540" s="867"/>
      <c r="L540" s="867"/>
      <c r="M540" s="867"/>
      <c r="N540" s="867"/>
      <c r="O540" s="867"/>
      <c r="P540" s="867"/>
      <c r="Q540" s="867"/>
      <c r="R540" s="85"/>
      <c r="S540" s="85"/>
      <c r="T540" s="85"/>
      <c r="U540" s="85"/>
    </row>
    <row r="541" spans="1:21" x14ac:dyDescent="0.2">
      <c r="A541" s="89"/>
      <c r="B541" s="89"/>
      <c r="C541" s="89"/>
      <c r="D541" s="90"/>
      <c r="E541" s="89"/>
      <c r="F541" s="89"/>
      <c r="G541" s="89"/>
      <c r="H541" s="91"/>
      <c r="I541" s="91"/>
      <c r="J541" s="91"/>
      <c r="K541" s="91"/>
      <c r="L541" s="91"/>
      <c r="M541" s="91"/>
      <c r="N541" s="91"/>
      <c r="O541" s="91"/>
      <c r="P541" s="92"/>
      <c r="Q541" s="92"/>
      <c r="R541" s="223"/>
      <c r="S541" s="89"/>
      <c r="T541" s="89"/>
      <c r="U541" s="89"/>
    </row>
    <row r="542" spans="1:21" x14ac:dyDescent="0.2"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48"/>
    </row>
    <row r="543" spans="1:21" x14ac:dyDescent="0.2"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1:21" x14ac:dyDescent="0.2">
      <c r="C544" s="1621"/>
      <c r="D544" s="1621"/>
      <c r="E544" s="1621"/>
      <c r="F544" s="1621"/>
      <c r="G544" s="85"/>
      <c r="K544" s="48"/>
      <c r="L544" s="48"/>
      <c r="M544" s="48"/>
      <c r="N544" s="48"/>
      <c r="O544" s="48"/>
    </row>
    <row r="545" spans="3:15" x14ac:dyDescent="0.2">
      <c r="C545" s="1622"/>
      <c r="D545" s="1622"/>
      <c r="E545" s="1622"/>
      <c r="F545" s="1622"/>
      <c r="G545" s="85"/>
      <c r="K545" s="48"/>
      <c r="L545" s="48"/>
      <c r="M545" s="48"/>
      <c r="N545" s="48"/>
      <c r="O545" s="48"/>
    </row>
    <row r="546" spans="3:15" x14ac:dyDescent="0.2">
      <c r="C546" s="1621"/>
      <c r="D546" s="1621"/>
      <c r="E546" s="1621"/>
      <c r="F546" s="1621"/>
      <c r="G546" s="85"/>
      <c r="K546" s="48"/>
      <c r="L546" s="48"/>
      <c r="M546" s="48"/>
      <c r="N546" s="48"/>
      <c r="O546" s="48"/>
    </row>
    <row r="547" spans="3:15" x14ac:dyDescent="0.2">
      <c r="C547" s="1621"/>
      <c r="D547" s="1621"/>
      <c r="E547" s="1621"/>
      <c r="F547" s="1621"/>
      <c r="G547" s="85"/>
      <c r="K547" s="48"/>
      <c r="L547" s="48"/>
      <c r="M547" s="48"/>
      <c r="N547" s="48"/>
      <c r="O547" s="48"/>
    </row>
    <row r="548" spans="3:15" x14ac:dyDescent="0.2">
      <c r="C548" s="1620"/>
      <c r="D548" s="1620"/>
      <c r="E548" s="1620"/>
      <c r="F548" s="1620"/>
      <c r="G548" s="1620"/>
    </row>
    <row r="549" spans="3:15" x14ac:dyDescent="0.2">
      <c r="C549" s="89"/>
      <c r="D549" s="90"/>
      <c r="E549" s="89"/>
      <c r="F549" s="89"/>
      <c r="G549" s="89"/>
    </row>
  </sheetData>
  <mergeCells count="728">
    <mergeCell ref="Q1:U1"/>
    <mergeCell ref="A2:U2"/>
    <mergeCell ref="A3:U3"/>
    <mergeCell ref="A4:U4"/>
    <mergeCell ref="A5:U5"/>
    <mergeCell ref="A6:U6"/>
    <mergeCell ref="M8:N8"/>
    <mergeCell ref="O8:O9"/>
    <mergeCell ref="R8:R9"/>
    <mergeCell ref="U8:U9"/>
    <mergeCell ref="A10:U10"/>
    <mergeCell ref="A11:U11"/>
    <mergeCell ref="G7:G9"/>
    <mergeCell ref="H7:K7"/>
    <mergeCell ref="L7:O7"/>
    <mergeCell ref="P7:P9"/>
    <mergeCell ref="Q7:Q9"/>
    <mergeCell ref="R7:U7"/>
    <mergeCell ref="H8:H9"/>
    <mergeCell ref="I8:J8"/>
    <mergeCell ref="K8:K9"/>
    <mergeCell ref="L8:L9"/>
    <mergeCell ref="A7:A9"/>
    <mergeCell ref="B7:B9"/>
    <mergeCell ref="C7:C9"/>
    <mergeCell ref="D7:D9"/>
    <mergeCell ref="E7:E9"/>
    <mergeCell ref="F7:F9"/>
    <mergeCell ref="B12:U12"/>
    <mergeCell ref="C13:U13"/>
    <mergeCell ref="A14:A21"/>
    <mergeCell ref="B14:B21"/>
    <mergeCell ref="C14:C21"/>
    <mergeCell ref="D14:D21"/>
    <mergeCell ref="E14:E21"/>
    <mergeCell ref="F14:F21"/>
    <mergeCell ref="R14:R21"/>
    <mergeCell ref="S14:S20"/>
    <mergeCell ref="T14:T20"/>
    <mergeCell ref="U14:U20"/>
    <mergeCell ref="U22:U28"/>
    <mergeCell ref="A30:A37"/>
    <mergeCell ref="B30:B37"/>
    <mergeCell ref="C30:C37"/>
    <mergeCell ref="D30:D37"/>
    <mergeCell ref="E30:E37"/>
    <mergeCell ref="F30:F37"/>
    <mergeCell ref="R30:R37"/>
    <mergeCell ref="S30:S36"/>
    <mergeCell ref="T30:T36"/>
    <mergeCell ref="U30:U36"/>
    <mergeCell ref="A22:A29"/>
    <mergeCell ref="B22:B29"/>
    <mergeCell ref="C22:C29"/>
    <mergeCell ref="D22:D29"/>
    <mergeCell ref="E22:E29"/>
    <mergeCell ref="F22:F29"/>
    <mergeCell ref="R22:R29"/>
    <mergeCell ref="S22:S28"/>
    <mergeCell ref="T22:T28"/>
    <mergeCell ref="U38:U44"/>
    <mergeCell ref="A46:A53"/>
    <mergeCell ref="B46:B53"/>
    <mergeCell ref="C46:C53"/>
    <mergeCell ref="D46:D53"/>
    <mergeCell ref="E46:E53"/>
    <mergeCell ref="F46:F53"/>
    <mergeCell ref="R46:R53"/>
    <mergeCell ref="S46:S52"/>
    <mergeCell ref="T46:T52"/>
    <mergeCell ref="U46:U52"/>
    <mergeCell ref="A38:A45"/>
    <mergeCell ref="B38:B45"/>
    <mergeCell ref="C38:C45"/>
    <mergeCell ref="D38:D45"/>
    <mergeCell ref="E38:E45"/>
    <mergeCell ref="F38:F45"/>
    <mergeCell ref="R38:R45"/>
    <mergeCell ref="S38:S44"/>
    <mergeCell ref="T38:T44"/>
    <mergeCell ref="C54:G54"/>
    <mergeCell ref="C55:U55"/>
    <mergeCell ref="A56:A63"/>
    <mergeCell ref="B56:B63"/>
    <mergeCell ref="C56:C63"/>
    <mergeCell ref="D56:D63"/>
    <mergeCell ref="E56:E63"/>
    <mergeCell ref="F56:F63"/>
    <mergeCell ref="R56:R63"/>
    <mergeCell ref="S56:S62"/>
    <mergeCell ref="T56:T62"/>
    <mergeCell ref="U56:U62"/>
    <mergeCell ref="U64:U70"/>
    <mergeCell ref="A72:A79"/>
    <mergeCell ref="B72:B79"/>
    <mergeCell ref="C72:C79"/>
    <mergeCell ref="D72:D79"/>
    <mergeCell ref="E72:E79"/>
    <mergeCell ref="F72:F79"/>
    <mergeCell ref="R72:R79"/>
    <mergeCell ref="S72:S78"/>
    <mergeCell ref="T72:T78"/>
    <mergeCell ref="U72:U78"/>
    <mergeCell ref="A64:A71"/>
    <mergeCell ref="B64:B71"/>
    <mergeCell ref="C64:C71"/>
    <mergeCell ref="D64:D71"/>
    <mergeCell ref="E64:E71"/>
    <mergeCell ref="F64:F71"/>
    <mergeCell ref="R64:R71"/>
    <mergeCell ref="S64:S70"/>
    <mergeCell ref="T64:T70"/>
    <mergeCell ref="A80:A87"/>
    <mergeCell ref="B80:B87"/>
    <mergeCell ref="C80:C87"/>
    <mergeCell ref="D80:D87"/>
    <mergeCell ref="E80:E87"/>
    <mergeCell ref="U88:U94"/>
    <mergeCell ref="A96:A103"/>
    <mergeCell ref="B96:B103"/>
    <mergeCell ref="C96:C103"/>
    <mergeCell ref="D96:D103"/>
    <mergeCell ref="E96:E103"/>
    <mergeCell ref="F80:F87"/>
    <mergeCell ref="R80:R87"/>
    <mergeCell ref="S80:S86"/>
    <mergeCell ref="T80:T86"/>
    <mergeCell ref="U80:U86"/>
    <mergeCell ref="A88:A95"/>
    <mergeCell ref="B88:B95"/>
    <mergeCell ref="C88:C95"/>
    <mergeCell ref="D88:D95"/>
    <mergeCell ref="E88:E95"/>
    <mergeCell ref="F88:F95"/>
    <mergeCell ref="R88:R95"/>
    <mergeCell ref="S88:S94"/>
    <mergeCell ref="T88:T94"/>
    <mergeCell ref="F104:F111"/>
    <mergeCell ref="R104:R111"/>
    <mergeCell ref="S104:S110"/>
    <mergeCell ref="T104:T110"/>
    <mergeCell ref="V73:X73"/>
    <mergeCell ref="A112:A119"/>
    <mergeCell ref="B112:B119"/>
    <mergeCell ref="C112:C119"/>
    <mergeCell ref="D112:D119"/>
    <mergeCell ref="E112:E119"/>
    <mergeCell ref="F112:F119"/>
    <mergeCell ref="U104:U110"/>
    <mergeCell ref="V104:Y104"/>
    <mergeCell ref="F96:F103"/>
    <mergeCell ref="R96:R103"/>
    <mergeCell ref="S96:S102"/>
    <mergeCell ref="T96:T102"/>
    <mergeCell ref="U96:U102"/>
    <mergeCell ref="R112:R119"/>
    <mergeCell ref="S112:S118"/>
    <mergeCell ref="T112:T118"/>
    <mergeCell ref="U112:U118"/>
    <mergeCell ref="A104:A111"/>
    <mergeCell ref="B104:B111"/>
    <mergeCell ref="C104:C111"/>
    <mergeCell ref="D104:D111"/>
    <mergeCell ref="E104:E111"/>
    <mergeCell ref="R120:R127"/>
    <mergeCell ref="S120:S126"/>
    <mergeCell ref="T120:T126"/>
    <mergeCell ref="U120:U126"/>
    <mergeCell ref="A128:A135"/>
    <mergeCell ref="B128:B135"/>
    <mergeCell ref="C128:C135"/>
    <mergeCell ref="D128:D135"/>
    <mergeCell ref="E128:E135"/>
    <mergeCell ref="F128:F135"/>
    <mergeCell ref="R128:R135"/>
    <mergeCell ref="S128:S134"/>
    <mergeCell ref="T128:T134"/>
    <mergeCell ref="U128:U134"/>
    <mergeCell ref="A120:A127"/>
    <mergeCell ref="B120:B127"/>
    <mergeCell ref="C120:C127"/>
    <mergeCell ref="D120:D127"/>
    <mergeCell ref="E120:E127"/>
    <mergeCell ref="F120:F127"/>
    <mergeCell ref="U136:U142"/>
    <mergeCell ref="A144:A151"/>
    <mergeCell ref="B144:B151"/>
    <mergeCell ref="C144:C151"/>
    <mergeCell ref="D144:D151"/>
    <mergeCell ref="E144:E151"/>
    <mergeCell ref="F144:F151"/>
    <mergeCell ref="R144:R151"/>
    <mergeCell ref="S144:S150"/>
    <mergeCell ref="T144:T150"/>
    <mergeCell ref="U144:U150"/>
    <mergeCell ref="A136:A143"/>
    <mergeCell ref="B136:B143"/>
    <mergeCell ref="C136:C143"/>
    <mergeCell ref="D136:D143"/>
    <mergeCell ref="E136:E143"/>
    <mergeCell ref="F136:F143"/>
    <mergeCell ref="R136:R143"/>
    <mergeCell ref="S136:S142"/>
    <mergeCell ref="T136:T142"/>
    <mergeCell ref="U160:U166"/>
    <mergeCell ref="A168:A175"/>
    <mergeCell ref="B168:B175"/>
    <mergeCell ref="C168:C175"/>
    <mergeCell ref="D168:D175"/>
    <mergeCell ref="E168:E175"/>
    <mergeCell ref="F168:F175"/>
    <mergeCell ref="R152:R159"/>
    <mergeCell ref="S152:S158"/>
    <mergeCell ref="T152:T158"/>
    <mergeCell ref="U152:U158"/>
    <mergeCell ref="A160:A167"/>
    <mergeCell ref="B160:B167"/>
    <mergeCell ref="C160:C167"/>
    <mergeCell ref="D160:D167"/>
    <mergeCell ref="E160:E167"/>
    <mergeCell ref="F160:F167"/>
    <mergeCell ref="R160:R167"/>
    <mergeCell ref="S160:S166"/>
    <mergeCell ref="T160:T166"/>
    <mergeCell ref="U168:U174"/>
    <mergeCell ref="A152:A159"/>
    <mergeCell ref="B152:B159"/>
    <mergeCell ref="C152:C159"/>
    <mergeCell ref="D152:D159"/>
    <mergeCell ref="E152:E159"/>
    <mergeCell ref="F152:F159"/>
    <mergeCell ref="R168:R175"/>
    <mergeCell ref="S168:S174"/>
    <mergeCell ref="T168:T174"/>
    <mergeCell ref="R186:R193"/>
    <mergeCell ref="S186:S192"/>
    <mergeCell ref="T186:T192"/>
    <mergeCell ref="U186:U192"/>
    <mergeCell ref="A176:A183"/>
    <mergeCell ref="B176:B183"/>
    <mergeCell ref="C176:C183"/>
    <mergeCell ref="D176:D183"/>
    <mergeCell ref="E176:E183"/>
    <mergeCell ref="F176:F183"/>
    <mergeCell ref="A186:A193"/>
    <mergeCell ref="B186:B193"/>
    <mergeCell ref="C186:C193"/>
    <mergeCell ref="D186:D193"/>
    <mergeCell ref="E186:E193"/>
    <mergeCell ref="F186:F193"/>
    <mergeCell ref="U176:U182"/>
    <mergeCell ref="C184:G184"/>
    <mergeCell ref="C185:U185"/>
    <mergeCell ref="R176:R183"/>
    <mergeCell ref="S176:S182"/>
    <mergeCell ref="T176:T182"/>
    <mergeCell ref="R194:R201"/>
    <mergeCell ref="S194:S200"/>
    <mergeCell ref="T194:T200"/>
    <mergeCell ref="U194:U200"/>
    <mergeCell ref="A202:A209"/>
    <mergeCell ref="B202:B209"/>
    <mergeCell ref="C202:C209"/>
    <mergeCell ref="D202:D209"/>
    <mergeCell ref="E202:E209"/>
    <mergeCell ref="F202:F209"/>
    <mergeCell ref="R202:R209"/>
    <mergeCell ref="S202:S208"/>
    <mergeCell ref="T202:T208"/>
    <mergeCell ref="U202:U208"/>
    <mergeCell ref="A194:A201"/>
    <mergeCell ref="B194:B201"/>
    <mergeCell ref="C194:C201"/>
    <mergeCell ref="D194:D201"/>
    <mergeCell ref="E194:E201"/>
    <mergeCell ref="F194:F201"/>
    <mergeCell ref="U210:U216"/>
    <mergeCell ref="A218:A225"/>
    <mergeCell ref="B218:B225"/>
    <mergeCell ref="C218:C225"/>
    <mergeCell ref="D218:D225"/>
    <mergeCell ref="E218:E225"/>
    <mergeCell ref="F218:F225"/>
    <mergeCell ref="R218:R225"/>
    <mergeCell ref="S218:S224"/>
    <mergeCell ref="T218:T224"/>
    <mergeCell ref="U218:U224"/>
    <mergeCell ref="A210:A217"/>
    <mergeCell ref="B210:B217"/>
    <mergeCell ref="C210:C217"/>
    <mergeCell ref="D210:D217"/>
    <mergeCell ref="E210:E217"/>
    <mergeCell ref="F210:F217"/>
    <mergeCell ref="R210:R217"/>
    <mergeCell ref="S210:S216"/>
    <mergeCell ref="T210:T216"/>
    <mergeCell ref="V237:AA237"/>
    <mergeCell ref="A242:A249"/>
    <mergeCell ref="B242:B249"/>
    <mergeCell ref="C242:C249"/>
    <mergeCell ref="D242:D249"/>
    <mergeCell ref="E242:E249"/>
    <mergeCell ref="R226:R233"/>
    <mergeCell ref="S226:S232"/>
    <mergeCell ref="T226:T232"/>
    <mergeCell ref="U226:U232"/>
    <mergeCell ref="A234:A241"/>
    <mergeCell ref="B234:B241"/>
    <mergeCell ref="C234:C241"/>
    <mergeCell ref="D234:D241"/>
    <mergeCell ref="E234:E241"/>
    <mergeCell ref="F234:F241"/>
    <mergeCell ref="U242:U248"/>
    <mergeCell ref="R234:R241"/>
    <mergeCell ref="S234:S240"/>
    <mergeCell ref="T234:T240"/>
    <mergeCell ref="U234:U240"/>
    <mergeCell ref="A226:A233"/>
    <mergeCell ref="B226:B233"/>
    <mergeCell ref="C226:C233"/>
    <mergeCell ref="D226:D233"/>
    <mergeCell ref="E226:E233"/>
    <mergeCell ref="F226:F233"/>
    <mergeCell ref="F242:F249"/>
    <mergeCell ref="R242:R249"/>
    <mergeCell ref="S242:S248"/>
    <mergeCell ref="T242:T248"/>
    <mergeCell ref="F258:F265"/>
    <mergeCell ref="R258:R265"/>
    <mergeCell ref="S258:S264"/>
    <mergeCell ref="T258:T264"/>
    <mergeCell ref="A250:A257"/>
    <mergeCell ref="B250:B257"/>
    <mergeCell ref="C250:C257"/>
    <mergeCell ref="D250:D257"/>
    <mergeCell ref="E250:E257"/>
    <mergeCell ref="A266:A273"/>
    <mergeCell ref="B266:B273"/>
    <mergeCell ref="C266:C273"/>
    <mergeCell ref="D266:D273"/>
    <mergeCell ref="E266:E273"/>
    <mergeCell ref="A258:A265"/>
    <mergeCell ref="B258:B265"/>
    <mergeCell ref="C258:C265"/>
    <mergeCell ref="D258:D265"/>
    <mergeCell ref="E258:E265"/>
    <mergeCell ref="F266:F273"/>
    <mergeCell ref="U258:U264"/>
    <mergeCell ref="V259:Y259"/>
    <mergeCell ref="F250:F257"/>
    <mergeCell ref="R250:R257"/>
    <mergeCell ref="S250:S256"/>
    <mergeCell ref="T250:T256"/>
    <mergeCell ref="U250:U256"/>
    <mergeCell ref="R266:R273"/>
    <mergeCell ref="S266:S272"/>
    <mergeCell ref="T266:T272"/>
    <mergeCell ref="U266:U272"/>
    <mergeCell ref="V286:Y287"/>
    <mergeCell ref="A290:A297"/>
    <mergeCell ref="B290:B297"/>
    <mergeCell ref="C290:C297"/>
    <mergeCell ref="D290:D297"/>
    <mergeCell ref="E290:E297"/>
    <mergeCell ref="R274:R281"/>
    <mergeCell ref="S274:S280"/>
    <mergeCell ref="T274:T280"/>
    <mergeCell ref="U274:U280"/>
    <mergeCell ref="A282:A289"/>
    <mergeCell ref="B282:B289"/>
    <mergeCell ref="C282:C289"/>
    <mergeCell ref="D282:D289"/>
    <mergeCell ref="E282:E289"/>
    <mergeCell ref="F282:F289"/>
    <mergeCell ref="A274:A281"/>
    <mergeCell ref="B274:B281"/>
    <mergeCell ref="C274:C281"/>
    <mergeCell ref="D274:D281"/>
    <mergeCell ref="E274:E281"/>
    <mergeCell ref="F274:F281"/>
    <mergeCell ref="A298:A305"/>
    <mergeCell ref="B298:B305"/>
    <mergeCell ref="C298:C305"/>
    <mergeCell ref="D298:D305"/>
    <mergeCell ref="E298:E305"/>
    <mergeCell ref="R282:R289"/>
    <mergeCell ref="S282:S288"/>
    <mergeCell ref="T282:T288"/>
    <mergeCell ref="U282:U288"/>
    <mergeCell ref="F298:F305"/>
    <mergeCell ref="R298:R305"/>
    <mergeCell ref="S298:S304"/>
    <mergeCell ref="T298:T304"/>
    <mergeCell ref="U298:U304"/>
    <mergeCell ref="V300:Z300"/>
    <mergeCell ref="V301:Z301"/>
    <mergeCell ref="F290:F297"/>
    <mergeCell ref="R290:R297"/>
    <mergeCell ref="S290:S296"/>
    <mergeCell ref="T290:T296"/>
    <mergeCell ref="U290:U296"/>
    <mergeCell ref="R306:R313"/>
    <mergeCell ref="S306:S312"/>
    <mergeCell ref="T306:T312"/>
    <mergeCell ref="U306:U312"/>
    <mergeCell ref="W308:Y308"/>
    <mergeCell ref="V310:Z310"/>
    <mergeCell ref="A306:A313"/>
    <mergeCell ref="B306:B313"/>
    <mergeCell ref="C306:C313"/>
    <mergeCell ref="D306:D313"/>
    <mergeCell ref="E306:E313"/>
    <mergeCell ref="F306:F313"/>
    <mergeCell ref="R314:R321"/>
    <mergeCell ref="S314:S320"/>
    <mergeCell ref="T314:T320"/>
    <mergeCell ref="U314:U320"/>
    <mergeCell ref="V317:Z317"/>
    <mergeCell ref="W319:Z319"/>
    <mergeCell ref="A314:A321"/>
    <mergeCell ref="B314:B321"/>
    <mergeCell ref="C314:C321"/>
    <mergeCell ref="D314:D321"/>
    <mergeCell ref="E314:E321"/>
    <mergeCell ref="F314:F321"/>
    <mergeCell ref="R322:R329"/>
    <mergeCell ref="S322:S328"/>
    <mergeCell ref="T322:T328"/>
    <mergeCell ref="U322:U328"/>
    <mergeCell ref="V324:X324"/>
    <mergeCell ref="V326:Z326"/>
    <mergeCell ref="A322:A329"/>
    <mergeCell ref="B322:B329"/>
    <mergeCell ref="C322:C329"/>
    <mergeCell ref="D322:D329"/>
    <mergeCell ref="E322:E329"/>
    <mergeCell ref="F322:F329"/>
    <mergeCell ref="A338:A345"/>
    <mergeCell ref="B338:B345"/>
    <mergeCell ref="C338:C345"/>
    <mergeCell ref="D338:D345"/>
    <mergeCell ref="E338:E345"/>
    <mergeCell ref="A330:A337"/>
    <mergeCell ref="B330:B337"/>
    <mergeCell ref="C330:C337"/>
    <mergeCell ref="D330:D337"/>
    <mergeCell ref="E330:E337"/>
    <mergeCell ref="F338:F345"/>
    <mergeCell ref="R338:R345"/>
    <mergeCell ref="S338:S344"/>
    <mergeCell ref="T338:T344"/>
    <mergeCell ref="U338:U344"/>
    <mergeCell ref="V338:Y338"/>
    <mergeCell ref="V341:X341"/>
    <mergeCell ref="R330:R337"/>
    <mergeCell ref="S330:S336"/>
    <mergeCell ref="T330:T336"/>
    <mergeCell ref="U330:U336"/>
    <mergeCell ref="V333:Z333"/>
    <mergeCell ref="F330:F337"/>
    <mergeCell ref="R346:R353"/>
    <mergeCell ref="S346:S352"/>
    <mergeCell ref="T346:T352"/>
    <mergeCell ref="U346:U352"/>
    <mergeCell ref="V347:Y347"/>
    <mergeCell ref="V350:Z350"/>
    <mergeCell ref="A346:A353"/>
    <mergeCell ref="B346:B353"/>
    <mergeCell ref="C346:C353"/>
    <mergeCell ref="D346:D353"/>
    <mergeCell ref="E346:E353"/>
    <mergeCell ref="F346:F353"/>
    <mergeCell ref="A362:A369"/>
    <mergeCell ref="B362:B369"/>
    <mergeCell ref="C362:C369"/>
    <mergeCell ref="D362:D369"/>
    <mergeCell ref="E362:E369"/>
    <mergeCell ref="A354:A361"/>
    <mergeCell ref="B354:B361"/>
    <mergeCell ref="C354:C361"/>
    <mergeCell ref="D354:D361"/>
    <mergeCell ref="E354:E361"/>
    <mergeCell ref="F362:F369"/>
    <mergeCell ref="R362:R369"/>
    <mergeCell ref="S362:S368"/>
    <mergeCell ref="T362:T368"/>
    <mergeCell ref="U362:U368"/>
    <mergeCell ref="V366:Z366"/>
    <mergeCell ref="R354:R361"/>
    <mergeCell ref="S354:S360"/>
    <mergeCell ref="T354:T360"/>
    <mergeCell ref="U354:U360"/>
    <mergeCell ref="V357:Z357"/>
    <mergeCell ref="F354:F361"/>
    <mergeCell ref="R370:R377"/>
    <mergeCell ref="S370:S376"/>
    <mergeCell ref="T370:T376"/>
    <mergeCell ref="U370:U376"/>
    <mergeCell ref="V371:Y371"/>
    <mergeCell ref="V372:Y372"/>
    <mergeCell ref="V374:Z374"/>
    <mergeCell ref="A370:A377"/>
    <mergeCell ref="B370:B377"/>
    <mergeCell ref="C370:C377"/>
    <mergeCell ref="D370:D377"/>
    <mergeCell ref="E370:E377"/>
    <mergeCell ref="F370:F377"/>
    <mergeCell ref="R378:R385"/>
    <mergeCell ref="S378:S384"/>
    <mergeCell ref="T378:T384"/>
    <mergeCell ref="U378:U384"/>
    <mergeCell ref="V379:Y379"/>
    <mergeCell ref="V380:Y380"/>
    <mergeCell ref="V382:AA382"/>
    <mergeCell ref="A378:A385"/>
    <mergeCell ref="B378:B385"/>
    <mergeCell ref="C378:C385"/>
    <mergeCell ref="D378:D385"/>
    <mergeCell ref="E378:E385"/>
    <mergeCell ref="F378:F385"/>
    <mergeCell ref="R386:R393"/>
    <mergeCell ref="S386:S392"/>
    <mergeCell ref="T386:T392"/>
    <mergeCell ref="U386:U392"/>
    <mergeCell ref="V387:Y387"/>
    <mergeCell ref="V388:Y388"/>
    <mergeCell ref="V390:AA390"/>
    <mergeCell ref="A386:A393"/>
    <mergeCell ref="B386:B393"/>
    <mergeCell ref="C386:C393"/>
    <mergeCell ref="D386:D393"/>
    <mergeCell ref="E386:E393"/>
    <mergeCell ref="F386:F393"/>
    <mergeCell ref="C394:G394"/>
    <mergeCell ref="C395:U395"/>
    <mergeCell ref="A396:A403"/>
    <mergeCell ref="B396:B403"/>
    <mergeCell ref="C396:C403"/>
    <mergeCell ref="D396:D403"/>
    <mergeCell ref="E396:E403"/>
    <mergeCell ref="F396:F403"/>
    <mergeCell ref="R396:R403"/>
    <mergeCell ref="S396:S402"/>
    <mergeCell ref="T396:T402"/>
    <mergeCell ref="U396:U402"/>
    <mergeCell ref="T412:T418"/>
    <mergeCell ref="V399:Y399"/>
    <mergeCell ref="U404:U410"/>
    <mergeCell ref="V406:X406"/>
    <mergeCell ref="U412:U418"/>
    <mergeCell ref="V416:AA416"/>
    <mergeCell ref="A404:A411"/>
    <mergeCell ref="B404:B411"/>
    <mergeCell ref="C404:C411"/>
    <mergeCell ref="D404:D411"/>
    <mergeCell ref="E404:E411"/>
    <mergeCell ref="F404:F411"/>
    <mergeCell ref="R404:R411"/>
    <mergeCell ref="S404:S410"/>
    <mergeCell ref="T404:T410"/>
    <mergeCell ref="A412:A419"/>
    <mergeCell ref="B412:B419"/>
    <mergeCell ref="C412:C419"/>
    <mergeCell ref="D412:D419"/>
    <mergeCell ref="E412:E419"/>
    <mergeCell ref="F412:F419"/>
    <mergeCell ref="R412:R419"/>
    <mergeCell ref="S412:S418"/>
    <mergeCell ref="U428:U434"/>
    <mergeCell ref="A436:A443"/>
    <mergeCell ref="B436:B443"/>
    <mergeCell ref="C436:C443"/>
    <mergeCell ref="D436:D443"/>
    <mergeCell ref="E436:E443"/>
    <mergeCell ref="F420:F427"/>
    <mergeCell ref="R420:R427"/>
    <mergeCell ref="S420:S426"/>
    <mergeCell ref="T420:T426"/>
    <mergeCell ref="U420:U426"/>
    <mergeCell ref="A428:A435"/>
    <mergeCell ref="B428:B435"/>
    <mergeCell ref="C428:C435"/>
    <mergeCell ref="D428:D435"/>
    <mergeCell ref="E428:E435"/>
    <mergeCell ref="T428:T434"/>
    <mergeCell ref="A420:A427"/>
    <mergeCell ref="B420:B427"/>
    <mergeCell ref="C420:C427"/>
    <mergeCell ref="D420:D427"/>
    <mergeCell ref="E420:E427"/>
    <mergeCell ref="A444:A451"/>
    <mergeCell ref="B444:B451"/>
    <mergeCell ref="C444:C451"/>
    <mergeCell ref="D444:D451"/>
    <mergeCell ref="E444:E451"/>
    <mergeCell ref="F428:F435"/>
    <mergeCell ref="R428:R435"/>
    <mergeCell ref="S428:S434"/>
    <mergeCell ref="F444:F451"/>
    <mergeCell ref="R444:R451"/>
    <mergeCell ref="S444:S450"/>
    <mergeCell ref="T444:T450"/>
    <mergeCell ref="U444:U450"/>
    <mergeCell ref="V446:X446"/>
    <mergeCell ref="F436:F443"/>
    <mergeCell ref="R436:R443"/>
    <mergeCell ref="S436:S442"/>
    <mergeCell ref="T436:T442"/>
    <mergeCell ref="U436:U442"/>
    <mergeCell ref="A460:A467"/>
    <mergeCell ref="B460:B467"/>
    <mergeCell ref="C460:C467"/>
    <mergeCell ref="D460:D467"/>
    <mergeCell ref="E460:E467"/>
    <mergeCell ref="A452:A459"/>
    <mergeCell ref="B452:B459"/>
    <mergeCell ref="C452:C459"/>
    <mergeCell ref="D452:D459"/>
    <mergeCell ref="E452:E459"/>
    <mergeCell ref="F460:F467"/>
    <mergeCell ref="R460:R467"/>
    <mergeCell ref="S460:S466"/>
    <mergeCell ref="T460:T466"/>
    <mergeCell ref="U460:U466"/>
    <mergeCell ref="V464:AA464"/>
    <mergeCell ref="R452:R459"/>
    <mergeCell ref="S452:S458"/>
    <mergeCell ref="T452:T458"/>
    <mergeCell ref="U452:U458"/>
    <mergeCell ref="V455:X455"/>
    <mergeCell ref="F452:F459"/>
    <mergeCell ref="A476:A483"/>
    <mergeCell ref="B476:B483"/>
    <mergeCell ref="C476:C483"/>
    <mergeCell ref="D476:D483"/>
    <mergeCell ref="E476:E483"/>
    <mergeCell ref="A468:A475"/>
    <mergeCell ref="B468:B475"/>
    <mergeCell ref="C468:C475"/>
    <mergeCell ref="D468:D475"/>
    <mergeCell ref="E468:E475"/>
    <mergeCell ref="F476:F483"/>
    <mergeCell ref="R476:R483"/>
    <mergeCell ref="S476:S482"/>
    <mergeCell ref="T476:T482"/>
    <mergeCell ref="U476:U482"/>
    <mergeCell ref="V480:Z480"/>
    <mergeCell ref="R468:R475"/>
    <mergeCell ref="S468:S474"/>
    <mergeCell ref="T468:T474"/>
    <mergeCell ref="U468:U474"/>
    <mergeCell ref="V472:Z472"/>
    <mergeCell ref="F468:F475"/>
    <mergeCell ref="A492:A499"/>
    <mergeCell ref="B492:B499"/>
    <mergeCell ref="C492:C499"/>
    <mergeCell ref="D492:D499"/>
    <mergeCell ref="E492:E499"/>
    <mergeCell ref="A484:A491"/>
    <mergeCell ref="B484:B491"/>
    <mergeCell ref="C484:C491"/>
    <mergeCell ref="D484:D491"/>
    <mergeCell ref="E484:E491"/>
    <mergeCell ref="F492:F499"/>
    <mergeCell ref="R492:R499"/>
    <mergeCell ref="S492:S498"/>
    <mergeCell ref="T492:T498"/>
    <mergeCell ref="U492:U498"/>
    <mergeCell ref="V496:Z496"/>
    <mergeCell ref="R484:R491"/>
    <mergeCell ref="S484:S490"/>
    <mergeCell ref="T484:T490"/>
    <mergeCell ref="U484:U490"/>
    <mergeCell ref="V488:Z488"/>
    <mergeCell ref="F484:F491"/>
    <mergeCell ref="C500:G500"/>
    <mergeCell ref="C501:U501"/>
    <mergeCell ref="A502:A509"/>
    <mergeCell ref="B502:B509"/>
    <mergeCell ref="C502:C509"/>
    <mergeCell ref="D502:D509"/>
    <mergeCell ref="E502:E509"/>
    <mergeCell ref="F502:F509"/>
    <mergeCell ref="R502:R509"/>
    <mergeCell ref="S502:S508"/>
    <mergeCell ref="T502:T508"/>
    <mergeCell ref="U502:U508"/>
    <mergeCell ref="R520:R524"/>
    <mergeCell ref="S520:S524"/>
    <mergeCell ref="T520:T524"/>
    <mergeCell ref="U520:U524"/>
    <mergeCell ref="R525:R527"/>
    <mergeCell ref="S525:S526"/>
    <mergeCell ref="T525:T526"/>
    <mergeCell ref="U525:U526"/>
    <mergeCell ref="R512:R519"/>
    <mergeCell ref="S512:S518"/>
    <mergeCell ref="T512:T518"/>
    <mergeCell ref="C510:G510"/>
    <mergeCell ref="C511:U511"/>
    <mergeCell ref="A512:A519"/>
    <mergeCell ref="B512:B519"/>
    <mergeCell ref="C512:C519"/>
    <mergeCell ref="D512:D519"/>
    <mergeCell ref="E512:E519"/>
    <mergeCell ref="F512:F519"/>
    <mergeCell ref="U512:U518"/>
    <mergeCell ref="A520:A527"/>
    <mergeCell ref="B520:B527"/>
    <mergeCell ref="C520:C527"/>
    <mergeCell ref="D520:D527"/>
    <mergeCell ref="E520:E527"/>
    <mergeCell ref="F520:F527"/>
    <mergeCell ref="C548:G548"/>
    <mergeCell ref="C539:F539"/>
    <mergeCell ref="C540:G540"/>
    <mergeCell ref="C544:F544"/>
    <mergeCell ref="C545:F545"/>
    <mergeCell ref="C546:F546"/>
    <mergeCell ref="C547:F547"/>
    <mergeCell ref="C528:G528"/>
    <mergeCell ref="B529:G529"/>
    <mergeCell ref="A530:G530"/>
    <mergeCell ref="C533:F533"/>
    <mergeCell ref="C535:F535"/>
    <mergeCell ref="C536:F536"/>
    <mergeCell ref="C537:F537"/>
    <mergeCell ref="C538:F538"/>
  </mergeCells>
  <conditionalFormatting sqref="A530 A5 A2:A3 V3:IV3 H530:U530">
    <cfRule type="cellIs" dxfId="84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8" firstPageNumber="10" orientation="landscape" useFirstPageNumber="1" r:id="rId1"/>
  <headerFooter>
    <oddHeader>&amp;C&amp;P</oddHeader>
  </headerFooter>
  <rowBreaks count="10" manualBreakCount="10">
    <brk id="45" max="20" man="1"/>
    <brk id="95" max="20" man="1"/>
    <brk id="143" max="20" man="1"/>
    <brk id="241" max="20" man="1"/>
    <brk id="289" max="20" man="1"/>
    <brk id="337" max="20" man="1"/>
    <brk id="385" max="20" man="1"/>
    <brk id="443" max="20" man="1"/>
    <brk id="491" max="20" man="1"/>
    <brk id="537" max="20" man="1"/>
  </rowBreaks>
  <colBreaks count="1" manualBreakCount="1">
    <brk id="25" max="5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0"/>
  <sheetViews>
    <sheetView zoomScaleNormal="100" workbookViewId="0">
      <selection activeCell="G1" sqref="G1"/>
    </sheetView>
  </sheetViews>
  <sheetFormatPr defaultRowHeight="11.25" outlineLevelRow="1" x14ac:dyDescent="0.2"/>
  <cols>
    <col min="1" max="1" width="3.42578125" style="229" customWidth="1"/>
    <col min="2" max="2" width="3.85546875" style="524" customWidth="1"/>
    <col min="3" max="3" width="3.42578125" style="524" customWidth="1"/>
    <col min="4" max="4" width="18.42578125" style="524" customWidth="1"/>
    <col min="5" max="5" width="9.85546875" style="524" customWidth="1"/>
    <col min="6" max="6" width="6" style="524" customWidth="1"/>
    <col min="7" max="7" width="7.85546875" style="524" customWidth="1"/>
    <col min="8" max="8" width="8.5703125" style="524" customWidth="1"/>
    <col min="9" max="9" width="8.28515625" style="524" customWidth="1"/>
    <col min="10" max="10" width="8.140625" style="524" customWidth="1"/>
    <col min="11" max="11" width="6.42578125" style="524" customWidth="1"/>
    <col min="12" max="12" width="8.5703125" style="524" customWidth="1"/>
    <col min="13" max="13" width="9.140625" style="524" customWidth="1"/>
    <col min="14" max="14" width="7.85546875" style="524" customWidth="1"/>
    <col min="15" max="15" width="6.42578125" style="524" customWidth="1"/>
    <col min="16" max="16" width="8.140625" style="524" customWidth="1"/>
    <col min="17" max="17" width="8.85546875" style="524" customWidth="1"/>
    <col min="18" max="18" width="14" style="524" customWidth="1"/>
    <col min="19" max="19" width="6.85546875" style="524" customWidth="1"/>
    <col min="20" max="20" width="8" style="524" customWidth="1"/>
    <col min="21" max="21" width="23.42578125" style="524" customWidth="1"/>
    <col min="22" max="22" width="6.140625" style="524" customWidth="1"/>
    <col min="23" max="24" width="8.140625" style="524" customWidth="1"/>
    <col min="25" max="256" width="9.140625" style="524"/>
    <col min="257" max="257" width="3.42578125" style="524" customWidth="1"/>
    <col min="258" max="258" width="3.85546875" style="524" customWidth="1"/>
    <col min="259" max="259" width="3.42578125" style="524" customWidth="1"/>
    <col min="260" max="260" width="18.42578125" style="524" customWidth="1"/>
    <col min="261" max="261" width="9.85546875" style="524" customWidth="1"/>
    <col min="262" max="262" width="6" style="524" customWidth="1"/>
    <col min="263" max="263" width="7.85546875" style="524" customWidth="1"/>
    <col min="264" max="264" width="8.5703125" style="524" customWidth="1"/>
    <col min="265" max="265" width="8.28515625" style="524" customWidth="1"/>
    <col min="266" max="266" width="8.140625" style="524" customWidth="1"/>
    <col min="267" max="267" width="6.42578125" style="524" customWidth="1"/>
    <col min="268" max="268" width="8.5703125" style="524" customWidth="1"/>
    <col min="269" max="269" width="9.140625" style="524" customWidth="1"/>
    <col min="270" max="270" width="7.85546875" style="524" customWidth="1"/>
    <col min="271" max="271" width="6.42578125" style="524" customWidth="1"/>
    <col min="272" max="272" width="8.140625" style="524" customWidth="1"/>
    <col min="273" max="273" width="8.85546875" style="524" customWidth="1"/>
    <col min="274" max="274" width="14" style="524" customWidth="1"/>
    <col min="275" max="275" width="6.85546875" style="524" customWidth="1"/>
    <col min="276" max="276" width="8" style="524" customWidth="1"/>
    <col min="277" max="277" width="23.42578125" style="524" customWidth="1"/>
    <col min="278" max="278" width="6.140625" style="524" customWidth="1"/>
    <col min="279" max="280" width="8.140625" style="524" customWidth="1"/>
    <col min="281" max="512" width="9.140625" style="524"/>
    <col min="513" max="513" width="3.42578125" style="524" customWidth="1"/>
    <col min="514" max="514" width="3.85546875" style="524" customWidth="1"/>
    <col min="515" max="515" width="3.42578125" style="524" customWidth="1"/>
    <col min="516" max="516" width="18.42578125" style="524" customWidth="1"/>
    <col min="517" max="517" width="9.85546875" style="524" customWidth="1"/>
    <col min="518" max="518" width="6" style="524" customWidth="1"/>
    <col min="519" max="519" width="7.85546875" style="524" customWidth="1"/>
    <col min="520" max="520" width="8.5703125" style="524" customWidth="1"/>
    <col min="521" max="521" width="8.28515625" style="524" customWidth="1"/>
    <col min="522" max="522" width="8.140625" style="524" customWidth="1"/>
    <col min="523" max="523" width="6.42578125" style="524" customWidth="1"/>
    <col min="524" max="524" width="8.5703125" style="524" customWidth="1"/>
    <col min="525" max="525" width="9.140625" style="524" customWidth="1"/>
    <col min="526" max="526" width="7.85546875" style="524" customWidth="1"/>
    <col min="527" max="527" width="6.42578125" style="524" customWidth="1"/>
    <col min="528" max="528" width="8.140625" style="524" customWidth="1"/>
    <col min="529" max="529" width="8.85546875" style="524" customWidth="1"/>
    <col min="530" max="530" width="14" style="524" customWidth="1"/>
    <col min="531" max="531" width="6.85546875" style="524" customWidth="1"/>
    <col min="532" max="532" width="8" style="524" customWidth="1"/>
    <col min="533" max="533" width="23.42578125" style="524" customWidth="1"/>
    <col min="534" max="534" width="6.140625" style="524" customWidth="1"/>
    <col min="535" max="536" width="8.140625" style="524" customWidth="1"/>
    <col min="537" max="768" width="9.140625" style="524"/>
    <col min="769" max="769" width="3.42578125" style="524" customWidth="1"/>
    <col min="770" max="770" width="3.85546875" style="524" customWidth="1"/>
    <col min="771" max="771" width="3.42578125" style="524" customWidth="1"/>
    <col min="772" max="772" width="18.42578125" style="524" customWidth="1"/>
    <col min="773" max="773" width="9.85546875" style="524" customWidth="1"/>
    <col min="774" max="774" width="6" style="524" customWidth="1"/>
    <col min="775" max="775" width="7.85546875" style="524" customWidth="1"/>
    <col min="776" max="776" width="8.5703125" style="524" customWidth="1"/>
    <col min="777" max="777" width="8.28515625" style="524" customWidth="1"/>
    <col min="778" max="778" width="8.140625" style="524" customWidth="1"/>
    <col min="779" max="779" width="6.42578125" style="524" customWidth="1"/>
    <col min="780" max="780" width="8.5703125" style="524" customWidth="1"/>
    <col min="781" max="781" width="9.140625" style="524" customWidth="1"/>
    <col min="782" max="782" width="7.85546875" style="524" customWidth="1"/>
    <col min="783" max="783" width="6.42578125" style="524" customWidth="1"/>
    <col min="784" max="784" width="8.140625" style="524" customWidth="1"/>
    <col min="785" max="785" width="8.85546875" style="524" customWidth="1"/>
    <col min="786" max="786" width="14" style="524" customWidth="1"/>
    <col min="787" max="787" width="6.85546875" style="524" customWidth="1"/>
    <col min="788" max="788" width="8" style="524" customWidth="1"/>
    <col min="789" max="789" width="23.42578125" style="524" customWidth="1"/>
    <col min="790" max="790" width="6.140625" style="524" customWidth="1"/>
    <col min="791" max="792" width="8.140625" style="524" customWidth="1"/>
    <col min="793" max="1024" width="9.140625" style="524"/>
    <col min="1025" max="1025" width="3.42578125" style="524" customWidth="1"/>
    <col min="1026" max="1026" width="3.85546875" style="524" customWidth="1"/>
    <col min="1027" max="1027" width="3.42578125" style="524" customWidth="1"/>
    <col min="1028" max="1028" width="18.42578125" style="524" customWidth="1"/>
    <col min="1029" max="1029" width="9.85546875" style="524" customWidth="1"/>
    <col min="1030" max="1030" width="6" style="524" customWidth="1"/>
    <col min="1031" max="1031" width="7.85546875" style="524" customWidth="1"/>
    <col min="1032" max="1032" width="8.5703125" style="524" customWidth="1"/>
    <col min="1033" max="1033" width="8.28515625" style="524" customWidth="1"/>
    <col min="1034" max="1034" width="8.140625" style="524" customWidth="1"/>
    <col min="1035" max="1035" width="6.42578125" style="524" customWidth="1"/>
    <col min="1036" max="1036" width="8.5703125" style="524" customWidth="1"/>
    <col min="1037" max="1037" width="9.140625" style="524" customWidth="1"/>
    <col min="1038" max="1038" width="7.85546875" style="524" customWidth="1"/>
    <col min="1039" max="1039" width="6.42578125" style="524" customWidth="1"/>
    <col min="1040" max="1040" width="8.140625" style="524" customWidth="1"/>
    <col min="1041" max="1041" width="8.85546875" style="524" customWidth="1"/>
    <col min="1042" max="1042" width="14" style="524" customWidth="1"/>
    <col min="1043" max="1043" width="6.85546875" style="524" customWidth="1"/>
    <col min="1044" max="1044" width="8" style="524" customWidth="1"/>
    <col min="1045" max="1045" width="23.42578125" style="524" customWidth="1"/>
    <col min="1046" max="1046" width="6.140625" style="524" customWidth="1"/>
    <col min="1047" max="1048" width="8.140625" style="524" customWidth="1"/>
    <col min="1049" max="1280" width="9.140625" style="524"/>
    <col min="1281" max="1281" width="3.42578125" style="524" customWidth="1"/>
    <col min="1282" max="1282" width="3.85546875" style="524" customWidth="1"/>
    <col min="1283" max="1283" width="3.42578125" style="524" customWidth="1"/>
    <col min="1284" max="1284" width="18.42578125" style="524" customWidth="1"/>
    <col min="1285" max="1285" width="9.85546875" style="524" customWidth="1"/>
    <col min="1286" max="1286" width="6" style="524" customWidth="1"/>
    <col min="1287" max="1287" width="7.85546875" style="524" customWidth="1"/>
    <col min="1288" max="1288" width="8.5703125" style="524" customWidth="1"/>
    <col min="1289" max="1289" width="8.28515625" style="524" customWidth="1"/>
    <col min="1290" max="1290" width="8.140625" style="524" customWidth="1"/>
    <col min="1291" max="1291" width="6.42578125" style="524" customWidth="1"/>
    <col min="1292" max="1292" width="8.5703125" style="524" customWidth="1"/>
    <col min="1293" max="1293" width="9.140625" style="524" customWidth="1"/>
    <col min="1294" max="1294" width="7.85546875" style="524" customWidth="1"/>
    <col min="1295" max="1295" width="6.42578125" style="524" customWidth="1"/>
    <col min="1296" max="1296" width="8.140625" style="524" customWidth="1"/>
    <col min="1297" max="1297" width="8.85546875" style="524" customWidth="1"/>
    <col min="1298" max="1298" width="14" style="524" customWidth="1"/>
    <col min="1299" max="1299" width="6.85546875" style="524" customWidth="1"/>
    <col min="1300" max="1300" width="8" style="524" customWidth="1"/>
    <col min="1301" max="1301" width="23.42578125" style="524" customWidth="1"/>
    <col min="1302" max="1302" width="6.140625" style="524" customWidth="1"/>
    <col min="1303" max="1304" width="8.140625" style="524" customWidth="1"/>
    <col min="1305" max="1536" width="9.140625" style="524"/>
    <col min="1537" max="1537" width="3.42578125" style="524" customWidth="1"/>
    <col min="1538" max="1538" width="3.85546875" style="524" customWidth="1"/>
    <col min="1539" max="1539" width="3.42578125" style="524" customWidth="1"/>
    <col min="1540" max="1540" width="18.42578125" style="524" customWidth="1"/>
    <col min="1541" max="1541" width="9.85546875" style="524" customWidth="1"/>
    <col min="1542" max="1542" width="6" style="524" customWidth="1"/>
    <col min="1543" max="1543" width="7.85546875" style="524" customWidth="1"/>
    <col min="1544" max="1544" width="8.5703125" style="524" customWidth="1"/>
    <col min="1545" max="1545" width="8.28515625" style="524" customWidth="1"/>
    <col min="1546" max="1546" width="8.140625" style="524" customWidth="1"/>
    <col min="1547" max="1547" width="6.42578125" style="524" customWidth="1"/>
    <col min="1548" max="1548" width="8.5703125" style="524" customWidth="1"/>
    <col min="1549" max="1549" width="9.140625" style="524" customWidth="1"/>
    <col min="1550" max="1550" width="7.85546875" style="524" customWidth="1"/>
    <col min="1551" max="1551" width="6.42578125" style="524" customWidth="1"/>
    <col min="1552" max="1552" width="8.140625" style="524" customWidth="1"/>
    <col min="1553" max="1553" width="8.85546875" style="524" customWidth="1"/>
    <col min="1554" max="1554" width="14" style="524" customWidth="1"/>
    <col min="1555" max="1555" width="6.85546875" style="524" customWidth="1"/>
    <col min="1556" max="1556" width="8" style="524" customWidth="1"/>
    <col min="1557" max="1557" width="23.42578125" style="524" customWidth="1"/>
    <col min="1558" max="1558" width="6.140625" style="524" customWidth="1"/>
    <col min="1559" max="1560" width="8.140625" style="524" customWidth="1"/>
    <col min="1561" max="1792" width="9.140625" style="524"/>
    <col min="1793" max="1793" width="3.42578125" style="524" customWidth="1"/>
    <col min="1794" max="1794" width="3.85546875" style="524" customWidth="1"/>
    <col min="1795" max="1795" width="3.42578125" style="524" customWidth="1"/>
    <col min="1796" max="1796" width="18.42578125" style="524" customWidth="1"/>
    <col min="1797" max="1797" width="9.85546875" style="524" customWidth="1"/>
    <col min="1798" max="1798" width="6" style="524" customWidth="1"/>
    <col min="1799" max="1799" width="7.85546875" style="524" customWidth="1"/>
    <col min="1800" max="1800" width="8.5703125" style="524" customWidth="1"/>
    <col min="1801" max="1801" width="8.28515625" style="524" customWidth="1"/>
    <col min="1802" max="1802" width="8.140625" style="524" customWidth="1"/>
    <col min="1803" max="1803" width="6.42578125" style="524" customWidth="1"/>
    <col min="1804" max="1804" width="8.5703125" style="524" customWidth="1"/>
    <col min="1805" max="1805" width="9.140625" style="524" customWidth="1"/>
    <col min="1806" max="1806" width="7.85546875" style="524" customWidth="1"/>
    <col min="1807" max="1807" width="6.42578125" style="524" customWidth="1"/>
    <col min="1808" max="1808" width="8.140625" style="524" customWidth="1"/>
    <col min="1809" max="1809" width="8.85546875" style="524" customWidth="1"/>
    <col min="1810" max="1810" width="14" style="524" customWidth="1"/>
    <col min="1811" max="1811" width="6.85546875" style="524" customWidth="1"/>
    <col min="1812" max="1812" width="8" style="524" customWidth="1"/>
    <col min="1813" max="1813" width="23.42578125" style="524" customWidth="1"/>
    <col min="1814" max="1814" width="6.140625" style="524" customWidth="1"/>
    <col min="1815" max="1816" width="8.140625" style="524" customWidth="1"/>
    <col min="1817" max="2048" width="9.140625" style="524"/>
    <col min="2049" max="2049" width="3.42578125" style="524" customWidth="1"/>
    <col min="2050" max="2050" width="3.85546875" style="524" customWidth="1"/>
    <col min="2051" max="2051" width="3.42578125" style="524" customWidth="1"/>
    <col min="2052" max="2052" width="18.42578125" style="524" customWidth="1"/>
    <col min="2053" max="2053" width="9.85546875" style="524" customWidth="1"/>
    <col min="2054" max="2054" width="6" style="524" customWidth="1"/>
    <col min="2055" max="2055" width="7.85546875" style="524" customWidth="1"/>
    <col min="2056" max="2056" width="8.5703125" style="524" customWidth="1"/>
    <col min="2057" max="2057" width="8.28515625" style="524" customWidth="1"/>
    <col min="2058" max="2058" width="8.140625" style="524" customWidth="1"/>
    <col min="2059" max="2059" width="6.42578125" style="524" customWidth="1"/>
    <col min="2060" max="2060" width="8.5703125" style="524" customWidth="1"/>
    <col min="2061" max="2061" width="9.140625" style="524" customWidth="1"/>
    <col min="2062" max="2062" width="7.85546875" style="524" customWidth="1"/>
    <col min="2063" max="2063" width="6.42578125" style="524" customWidth="1"/>
    <col min="2064" max="2064" width="8.140625" style="524" customWidth="1"/>
    <col min="2065" max="2065" width="8.85546875" style="524" customWidth="1"/>
    <col min="2066" max="2066" width="14" style="524" customWidth="1"/>
    <col min="2067" max="2067" width="6.85546875" style="524" customWidth="1"/>
    <col min="2068" max="2068" width="8" style="524" customWidth="1"/>
    <col min="2069" max="2069" width="23.42578125" style="524" customWidth="1"/>
    <col min="2070" max="2070" width="6.140625" style="524" customWidth="1"/>
    <col min="2071" max="2072" width="8.140625" style="524" customWidth="1"/>
    <col min="2073" max="2304" width="9.140625" style="524"/>
    <col min="2305" max="2305" width="3.42578125" style="524" customWidth="1"/>
    <col min="2306" max="2306" width="3.85546875" style="524" customWidth="1"/>
    <col min="2307" max="2307" width="3.42578125" style="524" customWidth="1"/>
    <col min="2308" max="2308" width="18.42578125" style="524" customWidth="1"/>
    <col min="2309" max="2309" width="9.85546875" style="524" customWidth="1"/>
    <col min="2310" max="2310" width="6" style="524" customWidth="1"/>
    <col min="2311" max="2311" width="7.85546875" style="524" customWidth="1"/>
    <col min="2312" max="2312" width="8.5703125" style="524" customWidth="1"/>
    <col min="2313" max="2313" width="8.28515625" style="524" customWidth="1"/>
    <col min="2314" max="2314" width="8.140625" style="524" customWidth="1"/>
    <col min="2315" max="2315" width="6.42578125" style="524" customWidth="1"/>
    <col min="2316" max="2316" width="8.5703125" style="524" customWidth="1"/>
    <col min="2317" max="2317" width="9.140625" style="524" customWidth="1"/>
    <col min="2318" max="2318" width="7.85546875" style="524" customWidth="1"/>
    <col min="2319" max="2319" width="6.42578125" style="524" customWidth="1"/>
    <col min="2320" max="2320" width="8.140625" style="524" customWidth="1"/>
    <col min="2321" max="2321" width="8.85546875" style="524" customWidth="1"/>
    <col min="2322" max="2322" width="14" style="524" customWidth="1"/>
    <col min="2323" max="2323" width="6.85546875" style="524" customWidth="1"/>
    <col min="2324" max="2324" width="8" style="524" customWidth="1"/>
    <col min="2325" max="2325" width="23.42578125" style="524" customWidth="1"/>
    <col min="2326" max="2326" width="6.140625" style="524" customWidth="1"/>
    <col min="2327" max="2328" width="8.140625" style="524" customWidth="1"/>
    <col min="2329" max="2560" width="9.140625" style="524"/>
    <col min="2561" max="2561" width="3.42578125" style="524" customWidth="1"/>
    <col min="2562" max="2562" width="3.85546875" style="524" customWidth="1"/>
    <col min="2563" max="2563" width="3.42578125" style="524" customWidth="1"/>
    <col min="2564" max="2564" width="18.42578125" style="524" customWidth="1"/>
    <col min="2565" max="2565" width="9.85546875" style="524" customWidth="1"/>
    <col min="2566" max="2566" width="6" style="524" customWidth="1"/>
    <col min="2567" max="2567" width="7.85546875" style="524" customWidth="1"/>
    <col min="2568" max="2568" width="8.5703125" style="524" customWidth="1"/>
    <col min="2569" max="2569" width="8.28515625" style="524" customWidth="1"/>
    <col min="2570" max="2570" width="8.140625" style="524" customWidth="1"/>
    <col min="2571" max="2571" width="6.42578125" style="524" customWidth="1"/>
    <col min="2572" max="2572" width="8.5703125" style="524" customWidth="1"/>
    <col min="2573" max="2573" width="9.140625" style="524" customWidth="1"/>
    <col min="2574" max="2574" width="7.85546875" style="524" customWidth="1"/>
    <col min="2575" max="2575" width="6.42578125" style="524" customWidth="1"/>
    <col min="2576" max="2576" width="8.140625" style="524" customWidth="1"/>
    <col min="2577" max="2577" width="8.85546875" style="524" customWidth="1"/>
    <col min="2578" max="2578" width="14" style="524" customWidth="1"/>
    <col min="2579" max="2579" width="6.85546875" style="524" customWidth="1"/>
    <col min="2580" max="2580" width="8" style="524" customWidth="1"/>
    <col min="2581" max="2581" width="23.42578125" style="524" customWidth="1"/>
    <col min="2582" max="2582" width="6.140625" style="524" customWidth="1"/>
    <col min="2583" max="2584" width="8.140625" style="524" customWidth="1"/>
    <col min="2585" max="2816" width="9.140625" style="524"/>
    <col min="2817" max="2817" width="3.42578125" style="524" customWidth="1"/>
    <col min="2818" max="2818" width="3.85546875" style="524" customWidth="1"/>
    <col min="2819" max="2819" width="3.42578125" style="524" customWidth="1"/>
    <col min="2820" max="2820" width="18.42578125" style="524" customWidth="1"/>
    <col min="2821" max="2821" width="9.85546875" style="524" customWidth="1"/>
    <col min="2822" max="2822" width="6" style="524" customWidth="1"/>
    <col min="2823" max="2823" width="7.85546875" style="524" customWidth="1"/>
    <col min="2824" max="2824" width="8.5703125" style="524" customWidth="1"/>
    <col min="2825" max="2825" width="8.28515625" style="524" customWidth="1"/>
    <col min="2826" max="2826" width="8.140625" style="524" customWidth="1"/>
    <col min="2827" max="2827" width="6.42578125" style="524" customWidth="1"/>
    <col min="2828" max="2828" width="8.5703125" style="524" customWidth="1"/>
    <col min="2829" max="2829" width="9.140625" style="524" customWidth="1"/>
    <col min="2830" max="2830" width="7.85546875" style="524" customWidth="1"/>
    <col min="2831" max="2831" width="6.42578125" style="524" customWidth="1"/>
    <col min="2832" max="2832" width="8.140625" style="524" customWidth="1"/>
    <col min="2833" max="2833" width="8.85546875" style="524" customWidth="1"/>
    <col min="2834" max="2834" width="14" style="524" customWidth="1"/>
    <col min="2835" max="2835" width="6.85546875" style="524" customWidth="1"/>
    <col min="2836" max="2836" width="8" style="524" customWidth="1"/>
    <col min="2837" max="2837" width="23.42578125" style="524" customWidth="1"/>
    <col min="2838" max="2838" width="6.140625" style="524" customWidth="1"/>
    <col min="2839" max="2840" width="8.140625" style="524" customWidth="1"/>
    <col min="2841" max="3072" width="9.140625" style="524"/>
    <col min="3073" max="3073" width="3.42578125" style="524" customWidth="1"/>
    <col min="3074" max="3074" width="3.85546875" style="524" customWidth="1"/>
    <col min="3075" max="3075" width="3.42578125" style="524" customWidth="1"/>
    <col min="3076" max="3076" width="18.42578125" style="524" customWidth="1"/>
    <col min="3077" max="3077" width="9.85546875" style="524" customWidth="1"/>
    <col min="3078" max="3078" width="6" style="524" customWidth="1"/>
    <col min="3079" max="3079" width="7.85546875" style="524" customWidth="1"/>
    <col min="3080" max="3080" width="8.5703125" style="524" customWidth="1"/>
    <col min="3081" max="3081" width="8.28515625" style="524" customWidth="1"/>
    <col min="3082" max="3082" width="8.140625" style="524" customWidth="1"/>
    <col min="3083" max="3083" width="6.42578125" style="524" customWidth="1"/>
    <col min="3084" max="3084" width="8.5703125" style="524" customWidth="1"/>
    <col min="3085" max="3085" width="9.140625" style="524" customWidth="1"/>
    <col min="3086" max="3086" width="7.85546875" style="524" customWidth="1"/>
    <col min="3087" max="3087" width="6.42578125" style="524" customWidth="1"/>
    <col min="3088" max="3088" width="8.140625" style="524" customWidth="1"/>
    <col min="3089" max="3089" width="8.85546875" style="524" customWidth="1"/>
    <col min="3090" max="3090" width="14" style="524" customWidth="1"/>
    <col min="3091" max="3091" width="6.85546875" style="524" customWidth="1"/>
    <col min="3092" max="3092" width="8" style="524" customWidth="1"/>
    <col min="3093" max="3093" width="23.42578125" style="524" customWidth="1"/>
    <col min="3094" max="3094" width="6.140625" style="524" customWidth="1"/>
    <col min="3095" max="3096" width="8.140625" style="524" customWidth="1"/>
    <col min="3097" max="3328" width="9.140625" style="524"/>
    <col min="3329" max="3329" width="3.42578125" style="524" customWidth="1"/>
    <col min="3330" max="3330" width="3.85546875" style="524" customWidth="1"/>
    <col min="3331" max="3331" width="3.42578125" style="524" customWidth="1"/>
    <col min="3332" max="3332" width="18.42578125" style="524" customWidth="1"/>
    <col min="3333" max="3333" width="9.85546875" style="524" customWidth="1"/>
    <col min="3334" max="3334" width="6" style="524" customWidth="1"/>
    <col min="3335" max="3335" width="7.85546875" style="524" customWidth="1"/>
    <col min="3336" max="3336" width="8.5703125" style="524" customWidth="1"/>
    <col min="3337" max="3337" width="8.28515625" style="524" customWidth="1"/>
    <col min="3338" max="3338" width="8.140625" style="524" customWidth="1"/>
    <col min="3339" max="3339" width="6.42578125" style="524" customWidth="1"/>
    <col min="3340" max="3340" width="8.5703125" style="524" customWidth="1"/>
    <col min="3341" max="3341" width="9.140625" style="524" customWidth="1"/>
    <col min="3342" max="3342" width="7.85546875" style="524" customWidth="1"/>
    <col min="3343" max="3343" width="6.42578125" style="524" customWidth="1"/>
    <col min="3344" max="3344" width="8.140625" style="524" customWidth="1"/>
    <col min="3345" max="3345" width="8.85546875" style="524" customWidth="1"/>
    <col min="3346" max="3346" width="14" style="524" customWidth="1"/>
    <col min="3347" max="3347" width="6.85546875" style="524" customWidth="1"/>
    <col min="3348" max="3348" width="8" style="524" customWidth="1"/>
    <col min="3349" max="3349" width="23.42578125" style="524" customWidth="1"/>
    <col min="3350" max="3350" width="6.140625" style="524" customWidth="1"/>
    <col min="3351" max="3352" width="8.140625" style="524" customWidth="1"/>
    <col min="3353" max="3584" width="9.140625" style="524"/>
    <col min="3585" max="3585" width="3.42578125" style="524" customWidth="1"/>
    <col min="3586" max="3586" width="3.85546875" style="524" customWidth="1"/>
    <col min="3587" max="3587" width="3.42578125" style="524" customWidth="1"/>
    <col min="3588" max="3588" width="18.42578125" style="524" customWidth="1"/>
    <col min="3589" max="3589" width="9.85546875" style="524" customWidth="1"/>
    <col min="3590" max="3590" width="6" style="524" customWidth="1"/>
    <col min="3591" max="3591" width="7.85546875" style="524" customWidth="1"/>
    <col min="3592" max="3592" width="8.5703125" style="524" customWidth="1"/>
    <col min="3593" max="3593" width="8.28515625" style="524" customWidth="1"/>
    <col min="3594" max="3594" width="8.140625" style="524" customWidth="1"/>
    <col min="3595" max="3595" width="6.42578125" style="524" customWidth="1"/>
    <col min="3596" max="3596" width="8.5703125" style="524" customWidth="1"/>
    <col min="3597" max="3597" width="9.140625" style="524" customWidth="1"/>
    <col min="3598" max="3598" width="7.85546875" style="524" customWidth="1"/>
    <col min="3599" max="3599" width="6.42578125" style="524" customWidth="1"/>
    <col min="3600" max="3600" width="8.140625" style="524" customWidth="1"/>
    <col min="3601" max="3601" width="8.85546875" style="524" customWidth="1"/>
    <col min="3602" max="3602" width="14" style="524" customWidth="1"/>
    <col min="3603" max="3603" width="6.85546875" style="524" customWidth="1"/>
    <col min="3604" max="3604" width="8" style="524" customWidth="1"/>
    <col min="3605" max="3605" width="23.42578125" style="524" customWidth="1"/>
    <col min="3606" max="3606" width="6.140625" style="524" customWidth="1"/>
    <col min="3607" max="3608" width="8.140625" style="524" customWidth="1"/>
    <col min="3609" max="3840" width="9.140625" style="524"/>
    <col min="3841" max="3841" width="3.42578125" style="524" customWidth="1"/>
    <col min="3842" max="3842" width="3.85546875" style="524" customWidth="1"/>
    <col min="3843" max="3843" width="3.42578125" style="524" customWidth="1"/>
    <col min="3844" max="3844" width="18.42578125" style="524" customWidth="1"/>
    <col min="3845" max="3845" width="9.85546875" style="524" customWidth="1"/>
    <col min="3846" max="3846" width="6" style="524" customWidth="1"/>
    <col min="3847" max="3847" width="7.85546875" style="524" customWidth="1"/>
    <col min="3848" max="3848" width="8.5703125" style="524" customWidth="1"/>
    <col min="3849" max="3849" width="8.28515625" style="524" customWidth="1"/>
    <col min="3850" max="3850" width="8.140625" style="524" customWidth="1"/>
    <col min="3851" max="3851" width="6.42578125" style="524" customWidth="1"/>
    <col min="3852" max="3852" width="8.5703125" style="524" customWidth="1"/>
    <col min="3853" max="3853" width="9.140625" style="524" customWidth="1"/>
    <col min="3854" max="3854" width="7.85546875" style="524" customWidth="1"/>
    <col min="3855" max="3855" width="6.42578125" style="524" customWidth="1"/>
    <col min="3856" max="3856" width="8.140625" style="524" customWidth="1"/>
    <col min="3857" max="3857" width="8.85546875" style="524" customWidth="1"/>
    <col min="3858" max="3858" width="14" style="524" customWidth="1"/>
    <col min="3859" max="3859" width="6.85546875" style="524" customWidth="1"/>
    <col min="3860" max="3860" width="8" style="524" customWidth="1"/>
    <col min="3861" max="3861" width="23.42578125" style="524" customWidth="1"/>
    <col min="3862" max="3862" width="6.140625" style="524" customWidth="1"/>
    <col min="3863" max="3864" width="8.140625" style="524" customWidth="1"/>
    <col min="3865" max="4096" width="9.140625" style="524"/>
    <col min="4097" max="4097" width="3.42578125" style="524" customWidth="1"/>
    <col min="4098" max="4098" width="3.85546875" style="524" customWidth="1"/>
    <col min="4099" max="4099" width="3.42578125" style="524" customWidth="1"/>
    <col min="4100" max="4100" width="18.42578125" style="524" customWidth="1"/>
    <col min="4101" max="4101" width="9.85546875" style="524" customWidth="1"/>
    <col min="4102" max="4102" width="6" style="524" customWidth="1"/>
    <col min="4103" max="4103" width="7.85546875" style="524" customWidth="1"/>
    <col min="4104" max="4104" width="8.5703125" style="524" customWidth="1"/>
    <col min="4105" max="4105" width="8.28515625" style="524" customWidth="1"/>
    <col min="4106" max="4106" width="8.140625" style="524" customWidth="1"/>
    <col min="4107" max="4107" width="6.42578125" style="524" customWidth="1"/>
    <col min="4108" max="4108" width="8.5703125" style="524" customWidth="1"/>
    <col min="4109" max="4109" width="9.140625" style="524" customWidth="1"/>
    <col min="4110" max="4110" width="7.85546875" style="524" customWidth="1"/>
    <col min="4111" max="4111" width="6.42578125" style="524" customWidth="1"/>
    <col min="4112" max="4112" width="8.140625" style="524" customWidth="1"/>
    <col min="4113" max="4113" width="8.85546875" style="524" customWidth="1"/>
    <col min="4114" max="4114" width="14" style="524" customWidth="1"/>
    <col min="4115" max="4115" width="6.85546875" style="524" customWidth="1"/>
    <col min="4116" max="4116" width="8" style="524" customWidth="1"/>
    <col min="4117" max="4117" width="23.42578125" style="524" customWidth="1"/>
    <col min="4118" max="4118" width="6.140625" style="524" customWidth="1"/>
    <col min="4119" max="4120" width="8.140625" style="524" customWidth="1"/>
    <col min="4121" max="4352" width="9.140625" style="524"/>
    <col min="4353" max="4353" width="3.42578125" style="524" customWidth="1"/>
    <col min="4354" max="4354" width="3.85546875" style="524" customWidth="1"/>
    <col min="4355" max="4355" width="3.42578125" style="524" customWidth="1"/>
    <col min="4356" max="4356" width="18.42578125" style="524" customWidth="1"/>
    <col min="4357" max="4357" width="9.85546875" style="524" customWidth="1"/>
    <col min="4358" max="4358" width="6" style="524" customWidth="1"/>
    <col min="4359" max="4359" width="7.85546875" style="524" customWidth="1"/>
    <col min="4360" max="4360" width="8.5703125" style="524" customWidth="1"/>
    <col min="4361" max="4361" width="8.28515625" style="524" customWidth="1"/>
    <col min="4362" max="4362" width="8.140625" style="524" customWidth="1"/>
    <col min="4363" max="4363" width="6.42578125" style="524" customWidth="1"/>
    <col min="4364" max="4364" width="8.5703125" style="524" customWidth="1"/>
    <col min="4365" max="4365" width="9.140625" style="524" customWidth="1"/>
    <col min="4366" max="4366" width="7.85546875" style="524" customWidth="1"/>
    <col min="4367" max="4367" width="6.42578125" style="524" customWidth="1"/>
    <col min="4368" max="4368" width="8.140625" style="524" customWidth="1"/>
    <col min="4369" max="4369" width="8.85546875" style="524" customWidth="1"/>
    <col min="4370" max="4370" width="14" style="524" customWidth="1"/>
    <col min="4371" max="4371" width="6.85546875" style="524" customWidth="1"/>
    <col min="4372" max="4372" width="8" style="524" customWidth="1"/>
    <col min="4373" max="4373" width="23.42578125" style="524" customWidth="1"/>
    <col min="4374" max="4374" width="6.140625" style="524" customWidth="1"/>
    <col min="4375" max="4376" width="8.140625" style="524" customWidth="1"/>
    <col min="4377" max="4608" width="9.140625" style="524"/>
    <col min="4609" max="4609" width="3.42578125" style="524" customWidth="1"/>
    <col min="4610" max="4610" width="3.85546875" style="524" customWidth="1"/>
    <col min="4611" max="4611" width="3.42578125" style="524" customWidth="1"/>
    <col min="4612" max="4612" width="18.42578125" style="524" customWidth="1"/>
    <col min="4613" max="4613" width="9.85546875" style="524" customWidth="1"/>
    <col min="4614" max="4614" width="6" style="524" customWidth="1"/>
    <col min="4615" max="4615" width="7.85546875" style="524" customWidth="1"/>
    <col min="4616" max="4616" width="8.5703125" style="524" customWidth="1"/>
    <col min="4617" max="4617" width="8.28515625" style="524" customWidth="1"/>
    <col min="4618" max="4618" width="8.140625" style="524" customWidth="1"/>
    <col min="4619" max="4619" width="6.42578125" style="524" customWidth="1"/>
    <col min="4620" max="4620" width="8.5703125" style="524" customWidth="1"/>
    <col min="4621" max="4621" width="9.140625" style="524" customWidth="1"/>
    <col min="4622" max="4622" width="7.85546875" style="524" customWidth="1"/>
    <col min="4623" max="4623" width="6.42578125" style="524" customWidth="1"/>
    <col min="4624" max="4624" width="8.140625" style="524" customWidth="1"/>
    <col min="4625" max="4625" width="8.85546875" style="524" customWidth="1"/>
    <col min="4626" max="4626" width="14" style="524" customWidth="1"/>
    <col min="4627" max="4627" width="6.85546875" style="524" customWidth="1"/>
    <col min="4628" max="4628" width="8" style="524" customWidth="1"/>
    <col min="4629" max="4629" width="23.42578125" style="524" customWidth="1"/>
    <col min="4630" max="4630" width="6.140625" style="524" customWidth="1"/>
    <col min="4631" max="4632" width="8.140625" style="524" customWidth="1"/>
    <col min="4633" max="4864" width="9.140625" style="524"/>
    <col min="4865" max="4865" width="3.42578125" style="524" customWidth="1"/>
    <col min="4866" max="4866" width="3.85546875" style="524" customWidth="1"/>
    <col min="4867" max="4867" width="3.42578125" style="524" customWidth="1"/>
    <col min="4868" max="4868" width="18.42578125" style="524" customWidth="1"/>
    <col min="4869" max="4869" width="9.85546875" style="524" customWidth="1"/>
    <col min="4870" max="4870" width="6" style="524" customWidth="1"/>
    <col min="4871" max="4871" width="7.85546875" style="524" customWidth="1"/>
    <col min="4872" max="4872" width="8.5703125" style="524" customWidth="1"/>
    <col min="4873" max="4873" width="8.28515625" style="524" customWidth="1"/>
    <col min="4874" max="4874" width="8.140625" style="524" customWidth="1"/>
    <col min="4875" max="4875" width="6.42578125" style="524" customWidth="1"/>
    <col min="4876" max="4876" width="8.5703125" style="524" customWidth="1"/>
    <col min="4877" max="4877" width="9.140625" style="524" customWidth="1"/>
    <col min="4878" max="4878" width="7.85546875" style="524" customWidth="1"/>
    <col min="4879" max="4879" width="6.42578125" style="524" customWidth="1"/>
    <col min="4880" max="4880" width="8.140625" style="524" customWidth="1"/>
    <col min="4881" max="4881" width="8.85546875" style="524" customWidth="1"/>
    <col min="4882" max="4882" width="14" style="524" customWidth="1"/>
    <col min="4883" max="4883" width="6.85546875" style="524" customWidth="1"/>
    <col min="4884" max="4884" width="8" style="524" customWidth="1"/>
    <col min="4885" max="4885" width="23.42578125" style="524" customWidth="1"/>
    <col min="4886" max="4886" width="6.140625" style="524" customWidth="1"/>
    <col min="4887" max="4888" width="8.140625" style="524" customWidth="1"/>
    <col min="4889" max="5120" width="9.140625" style="524"/>
    <col min="5121" max="5121" width="3.42578125" style="524" customWidth="1"/>
    <col min="5122" max="5122" width="3.85546875" style="524" customWidth="1"/>
    <col min="5123" max="5123" width="3.42578125" style="524" customWidth="1"/>
    <col min="5124" max="5124" width="18.42578125" style="524" customWidth="1"/>
    <col min="5125" max="5125" width="9.85546875" style="524" customWidth="1"/>
    <col min="5126" max="5126" width="6" style="524" customWidth="1"/>
    <col min="5127" max="5127" width="7.85546875" style="524" customWidth="1"/>
    <col min="5128" max="5128" width="8.5703125" style="524" customWidth="1"/>
    <col min="5129" max="5129" width="8.28515625" style="524" customWidth="1"/>
    <col min="5130" max="5130" width="8.140625" style="524" customWidth="1"/>
    <col min="5131" max="5131" width="6.42578125" style="524" customWidth="1"/>
    <col min="5132" max="5132" width="8.5703125" style="524" customWidth="1"/>
    <col min="5133" max="5133" width="9.140625" style="524" customWidth="1"/>
    <col min="5134" max="5134" width="7.85546875" style="524" customWidth="1"/>
    <col min="5135" max="5135" width="6.42578125" style="524" customWidth="1"/>
    <col min="5136" max="5136" width="8.140625" style="524" customWidth="1"/>
    <col min="5137" max="5137" width="8.85546875" style="524" customWidth="1"/>
    <col min="5138" max="5138" width="14" style="524" customWidth="1"/>
    <col min="5139" max="5139" width="6.85546875" style="524" customWidth="1"/>
    <col min="5140" max="5140" width="8" style="524" customWidth="1"/>
    <col min="5141" max="5141" width="23.42578125" style="524" customWidth="1"/>
    <col min="5142" max="5142" width="6.140625" style="524" customWidth="1"/>
    <col min="5143" max="5144" width="8.140625" style="524" customWidth="1"/>
    <col min="5145" max="5376" width="9.140625" style="524"/>
    <col min="5377" max="5377" width="3.42578125" style="524" customWidth="1"/>
    <col min="5378" max="5378" width="3.85546875" style="524" customWidth="1"/>
    <col min="5379" max="5379" width="3.42578125" style="524" customWidth="1"/>
    <col min="5380" max="5380" width="18.42578125" style="524" customWidth="1"/>
    <col min="5381" max="5381" width="9.85546875" style="524" customWidth="1"/>
    <col min="5382" max="5382" width="6" style="524" customWidth="1"/>
    <col min="5383" max="5383" width="7.85546875" style="524" customWidth="1"/>
    <col min="5384" max="5384" width="8.5703125" style="524" customWidth="1"/>
    <col min="5385" max="5385" width="8.28515625" style="524" customWidth="1"/>
    <col min="5386" max="5386" width="8.140625" style="524" customWidth="1"/>
    <col min="5387" max="5387" width="6.42578125" style="524" customWidth="1"/>
    <col min="5388" max="5388" width="8.5703125" style="524" customWidth="1"/>
    <col min="5389" max="5389" width="9.140625" style="524" customWidth="1"/>
    <col min="5390" max="5390" width="7.85546875" style="524" customWidth="1"/>
    <col min="5391" max="5391" width="6.42578125" style="524" customWidth="1"/>
    <col min="5392" max="5392" width="8.140625" style="524" customWidth="1"/>
    <col min="5393" max="5393" width="8.85546875" style="524" customWidth="1"/>
    <col min="5394" max="5394" width="14" style="524" customWidth="1"/>
    <col min="5395" max="5395" width="6.85546875" style="524" customWidth="1"/>
    <col min="5396" max="5396" width="8" style="524" customWidth="1"/>
    <col min="5397" max="5397" width="23.42578125" style="524" customWidth="1"/>
    <col min="5398" max="5398" width="6.140625" style="524" customWidth="1"/>
    <col min="5399" max="5400" width="8.140625" style="524" customWidth="1"/>
    <col min="5401" max="5632" width="9.140625" style="524"/>
    <col min="5633" max="5633" width="3.42578125" style="524" customWidth="1"/>
    <col min="5634" max="5634" width="3.85546875" style="524" customWidth="1"/>
    <col min="5635" max="5635" width="3.42578125" style="524" customWidth="1"/>
    <col min="5636" max="5636" width="18.42578125" style="524" customWidth="1"/>
    <col min="5637" max="5637" width="9.85546875" style="524" customWidth="1"/>
    <col min="5638" max="5638" width="6" style="524" customWidth="1"/>
    <col min="5639" max="5639" width="7.85546875" style="524" customWidth="1"/>
    <col min="5640" max="5640" width="8.5703125" style="524" customWidth="1"/>
    <col min="5641" max="5641" width="8.28515625" style="524" customWidth="1"/>
    <col min="5642" max="5642" width="8.140625" style="524" customWidth="1"/>
    <col min="5643" max="5643" width="6.42578125" style="524" customWidth="1"/>
    <col min="5644" max="5644" width="8.5703125" style="524" customWidth="1"/>
    <col min="5645" max="5645" width="9.140625" style="524" customWidth="1"/>
    <col min="5646" max="5646" width="7.85546875" style="524" customWidth="1"/>
    <col min="5647" max="5647" width="6.42578125" style="524" customWidth="1"/>
    <col min="5648" max="5648" width="8.140625" style="524" customWidth="1"/>
    <col min="5649" max="5649" width="8.85546875" style="524" customWidth="1"/>
    <col min="5650" max="5650" width="14" style="524" customWidth="1"/>
    <col min="5651" max="5651" width="6.85546875" style="524" customWidth="1"/>
    <col min="5652" max="5652" width="8" style="524" customWidth="1"/>
    <col min="5653" max="5653" width="23.42578125" style="524" customWidth="1"/>
    <col min="5654" max="5654" width="6.140625" style="524" customWidth="1"/>
    <col min="5655" max="5656" width="8.140625" style="524" customWidth="1"/>
    <col min="5657" max="5888" width="9.140625" style="524"/>
    <col min="5889" max="5889" width="3.42578125" style="524" customWidth="1"/>
    <col min="5890" max="5890" width="3.85546875" style="524" customWidth="1"/>
    <col min="5891" max="5891" width="3.42578125" style="524" customWidth="1"/>
    <col min="5892" max="5892" width="18.42578125" style="524" customWidth="1"/>
    <col min="5893" max="5893" width="9.85546875" style="524" customWidth="1"/>
    <col min="5894" max="5894" width="6" style="524" customWidth="1"/>
    <col min="5895" max="5895" width="7.85546875" style="524" customWidth="1"/>
    <col min="5896" max="5896" width="8.5703125" style="524" customWidth="1"/>
    <col min="5897" max="5897" width="8.28515625" style="524" customWidth="1"/>
    <col min="5898" max="5898" width="8.140625" style="524" customWidth="1"/>
    <col min="5899" max="5899" width="6.42578125" style="524" customWidth="1"/>
    <col min="5900" max="5900" width="8.5703125" style="524" customWidth="1"/>
    <col min="5901" max="5901" width="9.140625" style="524" customWidth="1"/>
    <col min="5902" max="5902" width="7.85546875" style="524" customWidth="1"/>
    <col min="5903" max="5903" width="6.42578125" style="524" customWidth="1"/>
    <col min="5904" max="5904" width="8.140625" style="524" customWidth="1"/>
    <col min="5905" max="5905" width="8.85546875" style="524" customWidth="1"/>
    <col min="5906" max="5906" width="14" style="524" customWidth="1"/>
    <col min="5907" max="5907" width="6.85546875" style="524" customWidth="1"/>
    <col min="5908" max="5908" width="8" style="524" customWidth="1"/>
    <col min="5909" max="5909" width="23.42578125" style="524" customWidth="1"/>
    <col min="5910" max="5910" width="6.140625" style="524" customWidth="1"/>
    <col min="5911" max="5912" width="8.140625" style="524" customWidth="1"/>
    <col min="5913" max="6144" width="9.140625" style="524"/>
    <col min="6145" max="6145" width="3.42578125" style="524" customWidth="1"/>
    <col min="6146" max="6146" width="3.85546875" style="524" customWidth="1"/>
    <col min="6147" max="6147" width="3.42578125" style="524" customWidth="1"/>
    <col min="6148" max="6148" width="18.42578125" style="524" customWidth="1"/>
    <col min="6149" max="6149" width="9.85546875" style="524" customWidth="1"/>
    <col min="6150" max="6150" width="6" style="524" customWidth="1"/>
    <col min="6151" max="6151" width="7.85546875" style="524" customWidth="1"/>
    <col min="6152" max="6152" width="8.5703125" style="524" customWidth="1"/>
    <col min="6153" max="6153" width="8.28515625" style="524" customWidth="1"/>
    <col min="6154" max="6154" width="8.140625" style="524" customWidth="1"/>
    <col min="6155" max="6155" width="6.42578125" style="524" customWidth="1"/>
    <col min="6156" max="6156" width="8.5703125" style="524" customWidth="1"/>
    <col min="6157" max="6157" width="9.140625" style="524" customWidth="1"/>
    <col min="6158" max="6158" width="7.85546875" style="524" customWidth="1"/>
    <col min="6159" max="6159" width="6.42578125" style="524" customWidth="1"/>
    <col min="6160" max="6160" width="8.140625" style="524" customWidth="1"/>
    <col min="6161" max="6161" width="8.85546875" style="524" customWidth="1"/>
    <col min="6162" max="6162" width="14" style="524" customWidth="1"/>
    <col min="6163" max="6163" width="6.85546875" style="524" customWidth="1"/>
    <col min="6164" max="6164" width="8" style="524" customWidth="1"/>
    <col min="6165" max="6165" width="23.42578125" style="524" customWidth="1"/>
    <col min="6166" max="6166" width="6.140625" style="524" customWidth="1"/>
    <col min="6167" max="6168" width="8.140625" style="524" customWidth="1"/>
    <col min="6169" max="6400" width="9.140625" style="524"/>
    <col min="6401" max="6401" width="3.42578125" style="524" customWidth="1"/>
    <col min="6402" max="6402" width="3.85546875" style="524" customWidth="1"/>
    <col min="6403" max="6403" width="3.42578125" style="524" customWidth="1"/>
    <col min="6404" max="6404" width="18.42578125" style="524" customWidth="1"/>
    <col min="6405" max="6405" width="9.85546875" style="524" customWidth="1"/>
    <col min="6406" max="6406" width="6" style="524" customWidth="1"/>
    <col min="6407" max="6407" width="7.85546875" style="524" customWidth="1"/>
    <col min="6408" max="6408" width="8.5703125" style="524" customWidth="1"/>
    <col min="6409" max="6409" width="8.28515625" style="524" customWidth="1"/>
    <col min="6410" max="6410" width="8.140625" style="524" customWidth="1"/>
    <col min="6411" max="6411" width="6.42578125" style="524" customWidth="1"/>
    <col min="6412" max="6412" width="8.5703125" style="524" customWidth="1"/>
    <col min="6413" max="6413" width="9.140625" style="524" customWidth="1"/>
    <col min="6414" max="6414" width="7.85546875" style="524" customWidth="1"/>
    <col min="6415" max="6415" width="6.42578125" style="524" customWidth="1"/>
    <col min="6416" max="6416" width="8.140625" style="524" customWidth="1"/>
    <col min="6417" max="6417" width="8.85546875" style="524" customWidth="1"/>
    <col min="6418" max="6418" width="14" style="524" customWidth="1"/>
    <col min="6419" max="6419" width="6.85546875" style="524" customWidth="1"/>
    <col min="6420" max="6420" width="8" style="524" customWidth="1"/>
    <col min="6421" max="6421" width="23.42578125" style="524" customWidth="1"/>
    <col min="6422" max="6422" width="6.140625" style="524" customWidth="1"/>
    <col min="6423" max="6424" width="8.140625" style="524" customWidth="1"/>
    <col min="6425" max="6656" width="9.140625" style="524"/>
    <col min="6657" max="6657" width="3.42578125" style="524" customWidth="1"/>
    <col min="6658" max="6658" width="3.85546875" style="524" customWidth="1"/>
    <col min="6659" max="6659" width="3.42578125" style="524" customWidth="1"/>
    <col min="6660" max="6660" width="18.42578125" style="524" customWidth="1"/>
    <col min="6661" max="6661" width="9.85546875" style="524" customWidth="1"/>
    <col min="6662" max="6662" width="6" style="524" customWidth="1"/>
    <col min="6663" max="6663" width="7.85546875" style="524" customWidth="1"/>
    <col min="6664" max="6664" width="8.5703125" style="524" customWidth="1"/>
    <col min="6665" max="6665" width="8.28515625" style="524" customWidth="1"/>
    <col min="6666" max="6666" width="8.140625" style="524" customWidth="1"/>
    <col min="6667" max="6667" width="6.42578125" style="524" customWidth="1"/>
    <col min="6668" max="6668" width="8.5703125" style="524" customWidth="1"/>
    <col min="6669" max="6669" width="9.140625" style="524" customWidth="1"/>
    <col min="6670" max="6670" width="7.85546875" style="524" customWidth="1"/>
    <col min="6671" max="6671" width="6.42578125" style="524" customWidth="1"/>
    <col min="6672" max="6672" width="8.140625" style="524" customWidth="1"/>
    <col min="6673" max="6673" width="8.85546875" style="524" customWidth="1"/>
    <col min="6674" max="6674" width="14" style="524" customWidth="1"/>
    <col min="6675" max="6675" width="6.85546875" style="524" customWidth="1"/>
    <col min="6676" max="6676" width="8" style="524" customWidth="1"/>
    <col min="6677" max="6677" width="23.42578125" style="524" customWidth="1"/>
    <col min="6678" max="6678" width="6.140625" style="524" customWidth="1"/>
    <col min="6679" max="6680" width="8.140625" style="524" customWidth="1"/>
    <col min="6681" max="6912" width="9.140625" style="524"/>
    <col min="6913" max="6913" width="3.42578125" style="524" customWidth="1"/>
    <col min="6914" max="6914" width="3.85546875" style="524" customWidth="1"/>
    <col min="6915" max="6915" width="3.42578125" style="524" customWidth="1"/>
    <col min="6916" max="6916" width="18.42578125" style="524" customWidth="1"/>
    <col min="6917" max="6917" width="9.85546875" style="524" customWidth="1"/>
    <col min="6918" max="6918" width="6" style="524" customWidth="1"/>
    <col min="6919" max="6919" width="7.85546875" style="524" customWidth="1"/>
    <col min="6920" max="6920" width="8.5703125" style="524" customWidth="1"/>
    <col min="6921" max="6921" width="8.28515625" style="524" customWidth="1"/>
    <col min="6922" max="6922" width="8.140625" style="524" customWidth="1"/>
    <col min="6923" max="6923" width="6.42578125" style="524" customWidth="1"/>
    <col min="6924" max="6924" width="8.5703125" style="524" customWidth="1"/>
    <col min="6925" max="6925" width="9.140625" style="524" customWidth="1"/>
    <col min="6926" max="6926" width="7.85546875" style="524" customWidth="1"/>
    <col min="6927" max="6927" width="6.42578125" style="524" customWidth="1"/>
    <col min="6928" max="6928" width="8.140625" style="524" customWidth="1"/>
    <col min="6929" max="6929" width="8.85546875" style="524" customWidth="1"/>
    <col min="6930" max="6930" width="14" style="524" customWidth="1"/>
    <col min="6931" max="6931" width="6.85546875" style="524" customWidth="1"/>
    <col min="6932" max="6932" width="8" style="524" customWidth="1"/>
    <col min="6933" max="6933" width="23.42578125" style="524" customWidth="1"/>
    <col min="6934" max="6934" width="6.140625" style="524" customWidth="1"/>
    <col min="6935" max="6936" width="8.140625" style="524" customWidth="1"/>
    <col min="6937" max="7168" width="9.140625" style="524"/>
    <col min="7169" max="7169" width="3.42578125" style="524" customWidth="1"/>
    <col min="7170" max="7170" width="3.85546875" style="524" customWidth="1"/>
    <col min="7171" max="7171" width="3.42578125" style="524" customWidth="1"/>
    <col min="7172" max="7172" width="18.42578125" style="524" customWidth="1"/>
    <col min="7173" max="7173" width="9.85546875" style="524" customWidth="1"/>
    <col min="7174" max="7174" width="6" style="524" customWidth="1"/>
    <col min="7175" max="7175" width="7.85546875" style="524" customWidth="1"/>
    <col min="7176" max="7176" width="8.5703125" style="524" customWidth="1"/>
    <col min="7177" max="7177" width="8.28515625" style="524" customWidth="1"/>
    <col min="7178" max="7178" width="8.140625" style="524" customWidth="1"/>
    <col min="7179" max="7179" width="6.42578125" style="524" customWidth="1"/>
    <col min="7180" max="7180" width="8.5703125" style="524" customWidth="1"/>
    <col min="7181" max="7181" width="9.140625" style="524" customWidth="1"/>
    <col min="7182" max="7182" width="7.85546875" style="524" customWidth="1"/>
    <col min="7183" max="7183" width="6.42578125" style="524" customWidth="1"/>
    <col min="7184" max="7184" width="8.140625" style="524" customWidth="1"/>
    <col min="7185" max="7185" width="8.85546875" style="524" customWidth="1"/>
    <col min="7186" max="7186" width="14" style="524" customWidth="1"/>
    <col min="7187" max="7187" width="6.85546875" style="524" customWidth="1"/>
    <col min="7188" max="7188" width="8" style="524" customWidth="1"/>
    <col min="7189" max="7189" width="23.42578125" style="524" customWidth="1"/>
    <col min="7190" max="7190" width="6.140625" style="524" customWidth="1"/>
    <col min="7191" max="7192" width="8.140625" style="524" customWidth="1"/>
    <col min="7193" max="7424" width="9.140625" style="524"/>
    <col min="7425" max="7425" width="3.42578125" style="524" customWidth="1"/>
    <col min="7426" max="7426" width="3.85546875" style="524" customWidth="1"/>
    <col min="7427" max="7427" width="3.42578125" style="524" customWidth="1"/>
    <col min="7428" max="7428" width="18.42578125" style="524" customWidth="1"/>
    <col min="7429" max="7429" width="9.85546875" style="524" customWidth="1"/>
    <col min="7430" max="7430" width="6" style="524" customWidth="1"/>
    <col min="7431" max="7431" width="7.85546875" style="524" customWidth="1"/>
    <col min="7432" max="7432" width="8.5703125" style="524" customWidth="1"/>
    <col min="7433" max="7433" width="8.28515625" style="524" customWidth="1"/>
    <col min="7434" max="7434" width="8.140625" style="524" customWidth="1"/>
    <col min="7435" max="7435" width="6.42578125" style="524" customWidth="1"/>
    <col min="7436" max="7436" width="8.5703125" style="524" customWidth="1"/>
    <col min="7437" max="7437" width="9.140625" style="524" customWidth="1"/>
    <col min="7438" max="7438" width="7.85546875" style="524" customWidth="1"/>
    <col min="7439" max="7439" width="6.42578125" style="524" customWidth="1"/>
    <col min="7440" max="7440" width="8.140625" style="524" customWidth="1"/>
    <col min="7441" max="7441" width="8.85546875" style="524" customWidth="1"/>
    <col min="7442" max="7442" width="14" style="524" customWidth="1"/>
    <col min="7443" max="7443" width="6.85546875" style="524" customWidth="1"/>
    <col min="7444" max="7444" width="8" style="524" customWidth="1"/>
    <col min="7445" max="7445" width="23.42578125" style="524" customWidth="1"/>
    <col min="7446" max="7446" width="6.140625" style="524" customWidth="1"/>
    <col min="7447" max="7448" width="8.140625" style="524" customWidth="1"/>
    <col min="7449" max="7680" width="9.140625" style="524"/>
    <col min="7681" max="7681" width="3.42578125" style="524" customWidth="1"/>
    <col min="7682" max="7682" width="3.85546875" style="524" customWidth="1"/>
    <col min="7683" max="7683" width="3.42578125" style="524" customWidth="1"/>
    <col min="7684" max="7684" width="18.42578125" style="524" customWidth="1"/>
    <col min="7685" max="7685" width="9.85546875" style="524" customWidth="1"/>
    <col min="7686" max="7686" width="6" style="524" customWidth="1"/>
    <col min="7687" max="7687" width="7.85546875" style="524" customWidth="1"/>
    <col min="7688" max="7688" width="8.5703125" style="524" customWidth="1"/>
    <col min="7689" max="7689" width="8.28515625" style="524" customWidth="1"/>
    <col min="7690" max="7690" width="8.140625" style="524" customWidth="1"/>
    <col min="7691" max="7691" width="6.42578125" style="524" customWidth="1"/>
    <col min="7692" max="7692" width="8.5703125" style="524" customWidth="1"/>
    <col min="7693" max="7693" width="9.140625" style="524" customWidth="1"/>
    <col min="7694" max="7694" width="7.85546875" style="524" customWidth="1"/>
    <col min="7695" max="7695" width="6.42578125" style="524" customWidth="1"/>
    <col min="7696" max="7696" width="8.140625" style="524" customWidth="1"/>
    <col min="7697" max="7697" width="8.85546875" style="524" customWidth="1"/>
    <col min="7698" max="7698" width="14" style="524" customWidth="1"/>
    <col min="7699" max="7699" width="6.85546875" style="524" customWidth="1"/>
    <col min="7700" max="7700" width="8" style="524" customWidth="1"/>
    <col min="7701" max="7701" width="23.42578125" style="524" customWidth="1"/>
    <col min="7702" max="7702" width="6.140625" style="524" customWidth="1"/>
    <col min="7703" max="7704" width="8.140625" style="524" customWidth="1"/>
    <col min="7705" max="7936" width="9.140625" style="524"/>
    <col min="7937" max="7937" width="3.42578125" style="524" customWidth="1"/>
    <col min="7938" max="7938" width="3.85546875" style="524" customWidth="1"/>
    <col min="7939" max="7939" width="3.42578125" style="524" customWidth="1"/>
    <col min="7940" max="7940" width="18.42578125" style="524" customWidth="1"/>
    <col min="7941" max="7941" width="9.85546875" style="524" customWidth="1"/>
    <col min="7942" max="7942" width="6" style="524" customWidth="1"/>
    <col min="7943" max="7943" width="7.85546875" style="524" customWidth="1"/>
    <col min="7944" max="7944" width="8.5703125" style="524" customWidth="1"/>
    <col min="7945" max="7945" width="8.28515625" style="524" customWidth="1"/>
    <col min="7946" max="7946" width="8.140625" style="524" customWidth="1"/>
    <col min="7947" max="7947" width="6.42578125" style="524" customWidth="1"/>
    <col min="7948" max="7948" width="8.5703125" style="524" customWidth="1"/>
    <col min="7949" max="7949" width="9.140625" style="524" customWidth="1"/>
    <col min="7950" max="7950" width="7.85546875" style="524" customWidth="1"/>
    <col min="7951" max="7951" width="6.42578125" style="524" customWidth="1"/>
    <col min="7952" max="7952" width="8.140625" style="524" customWidth="1"/>
    <col min="7953" max="7953" width="8.85546875" style="524" customWidth="1"/>
    <col min="7954" max="7954" width="14" style="524" customWidth="1"/>
    <col min="7955" max="7955" width="6.85546875" style="524" customWidth="1"/>
    <col min="7956" max="7956" width="8" style="524" customWidth="1"/>
    <col min="7957" max="7957" width="23.42578125" style="524" customWidth="1"/>
    <col min="7958" max="7958" width="6.140625" style="524" customWidth="1"/>
    <col min="7959" max="7960" width="8.140625" style="524" customWidth="1"/>
    <col min="7961" max="8192" width="9.140625" style="524"/>
    <col min="8193" max="8193" width="3.42578125" style="524" customWidth="1"/>
    <col min="8194" max="8194" width="3.85546875" style="524" customWidth="1"/>
    <col min="8195" max="8195" width="3.42578125" style="524" customWidth="1"/>
    <col min="8196" max="8196" width="18.42578125" style="524" customWidth="1"/>
    <col min="8197" max="8197" width="9.85546875" style="524" customWidth="1"/>
    <col min="8198" max="8198" width="6" style="524" customWidth="1"/>
    <col min="8199" max="8199" width="7.85546875" style="524" customWidth="1"/>
    <col min="8200" max="8200" width="8.5703125" style="524" customWidth="1"/>
    <col min="8201" max="8201" width="8.28515625" style="524" customWidth="1"/>
    <col min="8202" max="8202" width="8.140625" style="524" customWidth="1"/>
    <col min="8203" max="8203" width="6.42578125" style="524" customWidth="1"/>
    <col min="8204" max="8204" width="8.5703125" style="524" customWidth="1"/>
    <col min="8205" max="8205" width="9.140625" style="524" customWidth="1"/>
    <col min="8206" max="8206" width="7.85546875" style="524" customWidth="1"/>
    <col min="8207" max="8207" width="6.42578125" style="524" customWidth="1"/>
    <col min="8208" max="8208" width="8.140625" style="524" customWidth="1"/>
    <col min="8209" max="8209" width="8.85546875" style="524" customWidth="1"/>
    <col min="8210" max="8210" width="14" style="524" customWidth="1"/>
    <col min="8211" max="8211" width="6.85546875" style="524" customWidth="1"/>
    <col min="8212" max="8212" width="8" style="524" customWidth="1"/>
    <col min="8213" max="8213" width="23.42578125" style="524" customWidth="1"/>
    <col min="8214" max="8214" width="6.140625" style="524" customWidth="1"/>
    <col min="8215" max="8216" width="8.140625" style="524" customWidth="1"/>
    <col min="8217" max="8448" width="9.140625" style="524"/>
    <col min="8449" max="8449" width="3.42578125" style="524" customWidth="1"/>
    <col min="8450" max="8450" width="3.85546875" style="524" customWidth="1"/>
    <col min="8451" max="8451" width="3.42578125" style="524" customWidth="1"/>
    <col min="8452" max="8452" width="18.42578125" style="524" customWidth="1"/>
    <col min="8453" max="8453" width="9.85546875" style="524" customWidth="1"/>
    <col min="8454" max="8454" width="6" style="524" customWidth="1"/>
    <col min="8455" max="8455" width="7.85546875" style="524" customWidth="1"/>
    <col min="8456" max="8456" width="8.5703125" style="524" customWidth="1"/>
    <col min="8457" max="8457" width="8.28515625" style="524" customWidth="1"/>
    <col min="8458" max="8458" width="8.140625" style="524" customWidth="1"/>
    <col min="8459" max="8459" width="6.42578125" style="524" customWidth="1"/>
    <col min="8460" max="8460" width="8.5703125" style="524" customWidth="1"/>
    <col min="8461" max="8461" width="9.140625" style="524" customWidth="1"/>
    <col min="8462" max="8462" width="7.85546875" style="524" customWidth="1"/>
    <col min="8463" max="8463" width="6.42578125" style="524" customWidth="1"/>
    <col min="8464" max="8464" width="8.140625" style="524" customWidth="1"/>
    <col min="8465" max="8465" width="8.85546875" style="524" customWidth="1"/>
    <col min="8466" max="8466" width="14" style="524" customWidth="1"/>
    <col min="8467" max="8467" width="6.85546875" style="524" customWidth="1"/>
    <col min="8468" max="8468" width="8" style="524" customWidth="1"/>
    <col min="8469" max="8469" width="23.42578125" style="524" customWidth="1"/>
    <col min="8470" max="8470" width="6.140625" style="524" customWidth="1"/>
    <col min="8471" max="8472" width="8.140625" style="524" customWidth="1"/>
    <col min="8473" max="8704" width="9.140625" style="524"/>
    <col min="8705" max="8705" width="3.42578125" style="524" customWidth="1"/>
    <col min="8706" max="8706" width="3.85546875" style="524" customWidth="1"/>
    <col min="8707" max="8707" width="3.42578125" style="524" customWidth="1"/>
    <col min="8708" max="8708" width="18.42578125" style="524" customWidth="1"/>
    <col min="8709" max="8709" width="9.85546875" style="524" customWidth="1"/>
    <col min="8710" max="8710" width="6" style="524" customWidth="1"/>
    <col min="8711" max="8711" width="7.85546875" style="524" customWidth="1"/>
    <col min="8712" max="8712" width="8.5703125" style="524" customWidth="1"/>
    <col min="8713" max="8713" width="8.28515625" style="524" customWidth="1"/>
    <col min="8714" max="8714" width="8.140625" style="524" customWidth="1"/>
    <col min="8715" max="8715" width="6.42578125" style="524" customWidth="1"/>
    <col min="8716" max="8716" width="8.5703125" style="524" customWidth="1"/>
    <col min="8717" max="8717" width="9.140625" style="524" customWidth="1"/>
    <col min="8718" max="8718" width="7.85546875" style="524" customWidth="1"/>
    <col min="8719" max="8719" width="6.42578125" style="524" customWidth="1"/>
    <col min="8720" max="8720" width="8.140625" style="524" customWidth="1"/>
    <col min="8721" max="8721" width="8.85546875" style="524" customWidth="1"/>
    <col min="8722" max="8722" width="14" style="524" customWidth="1"/>
    <col min="8723" max="8723" width="6.85546875" style="524" customWidth="1"/>
    <col min="8724" max="8724" width="8" style="524" customWidth="1"/>
    <col min="8725" max="8725" width="23.42578125" style="524" customWidth="1"/>
    <col min="8726" max="8726" width="6.140625" style="524" customWidth="1"/>
    <col min="8727" max="8728" width="8.140625" style="524" customWidth="1"/>
    <col min="8729" max="8960" width="9.140625" style="524"/>
    <col min="8961" max="8961" width="3.42578125" style="524" customWidth="1"/>
    <col min="8962" max="8962" width="3.85546875" style="524" customWidth="1"/>
    <col min="8963" max="8963" width="3.42578125" style="524" customWidth="1"/>
    <col min="8964" max="8964" width="18.42578125" style="524" customWidth="1"/>
    <col min="8965" max="8965" width="9.85546875" style="524" customWidth="1"/>
    <col min="8966" max="8966" width="6" style="524" customWidth="1"/>
    <col min="8967" max="8967" width="7.85546875" style="524" customWidth="1"/>
    <col min="8968" max="8968" width="8.5703125" style="524" customWidth="1"/>
    <col min="8969" max="8969" width="8.28515625" style="524" customWidth="1"/>
    <col min="8970" max="8970" width="8.140625" style="524" customWidth="1"/>
    <col min="8971" max="8971" width="6.42578125" style="524" customWidth="1"/>
    <col min="8972" max="8972" width="8.5703125" style="524" customWidth="1"/>
    <col min="8973" max="8973" width="9.140625" style="524" customWidth="1"/>
    <col min="8974" max="8974" width="7.85546875" style="524" customWidth="1"/>
    <col min="8975" max="8975" width="6.42578125" style="524" customWidth="1"/>
    <col min="8976" max="8976" width="8.140625" style="524" customWidth="1"/>
    <col min="8977" max="8977" width="8.85546875" style="524" customWidth="1"/>
    <col min="8978" max="8978" width="14" style="524" customWidth="1"/>
    <col min="8979" max="8979" width="6.85546875" style="524" customWidth="1"/>
    <col min="8980" max="8980" width="8" style="524" customWidth="1"/>
    <col min="8981" max="8981" width="23.42578125" style="524" customWidth="1"/>
    <col min="8982" max="8982" width="6.140625" style="524" customWidth="1"/>
    <col min="8983" max="8984" width="8.140625" style="524" customWidth="1"/>
    <col min="8985" max="9216" width="9.140625" style="524"/>
    <col min="9217" max="9217" width="3.42578125" style="524" customWidth="1"/>
    <col min="9218" max="9218" width="3.85546875" style="524" customWidth="1"/>
    <col min="9219" max="9219" width="3.42578125" style="524" customWidth="1"/>
    <col min="9220" max="9220" width="18.42578125" style="524" customWidth="1"/>
    <col min="9221" max="9221" width="9.85546875" style="524" customWidth="1"/>
    <col min="9222" max="9222" width="6" style="524" customWidth="1"/>
    <col min="9223" max="9223" width="7.85546875" style="524" customWidth="1"/>
    <col min="9224" max="9224" width="8.5703125" style="524" customWidth="1"/>
    <col min="9225" max="9225" width="8.28515625" style="524" customWidth="1"/>
    <col min="9226" max="9226" width="8.140625" style="524" customWidth="1"/>
    <col min="9227" max="9227" width="6.42578125" style="524" customWidth="1"/>
    <col min="9228" max="9228" width="8.5703125" style="524" customWidth="1"/>
    <col min="9229" max="9229" width="9.140625" style="524" customWidth="1"/>
    <col min="9230" max="9230" width="7.85546875" style="524" customWidth="1"/>
    <col min="9231" max="9231" width="6.42578125" style="524" customWidth="1"/>
    <col min="9232" max="9232" width="8.140625" style="524" customWidth="1"/>
    <col min="9233" max="9233" width="8.85546875" style="524" customWidth="1"/>
    <col min="9234" max="9234" width="14" style="524" customWidth="1"/>
    <col min="9235" max="9235" width="6.85546875" style="524" customWidth="1"/>
    <col min="9236" max="9236" width="8" style="524" customWidth="1"/>
    <col min="9237" max="9237" width="23.42578125" style="524" customWidth="1"/>
    <col min="9238" max="9238" width="6.140625" style="524" customWidth="1"/>
    <col min="9239" max="9240" width="8.140625" style="524" customWidth="1"/>
    <col min="9241" max="9472" width="9.140625" style="524"/>
    <col min="9473" max="9473" width="3.42578125" style="524" customWidth="1"/>
    <col min="9474" max="9474" width="3.85546875" style="524" customWidth="1"/>
    <col min="9475" max="9475" width="3.42578125" style="524" customWidth="1"/>
    <col min="9476" max="9476" width="18.42578125" style="524" customWidth="1"/>
    <col min="9477" max="9477" width="9.85546875" style="524" customWidth="1"/>
    <col min="9478" max="9478" width="6" style="524" customWidth="1"/>
    <col min="9479" max="9479" width="7.85546875" style="524" customWidth="1"/>
    <col min="9480" max="9480" width="8.5703125" style="524" customWidth="1"/>
    <col min="9481" max="9481" width="8.28515625" style="524" customWidth="1"/>
    <col min="9482" max="9482" width="8.140625" style="524" customWidth="1"/>
    <col min="9483" max="9483" width="6.42578125" style="524" customWidth="1"/>
    <col min="9484" max="9484" width="8.5703125" style="524" customWidth="1"/>
    <col min="9485" max="9485" width="9.140625" style="524" customWidth="1"/>
    <col min="9486" max="9486" width="7.85546875" style="524" customWidth="1"/>
    <col min="9487" max="9487" width="6.42578125" style="524" customWidth="1"/>
    <col min="9488" max="9488" width="8.140625" style="524" customWidth="1"/>
    <col min="9489" max="9489" width="8.85546875" style="524" customWidth="1"/>
    <col min="9490" max="9490" width="14" style="524" customWidth="1"/>
    <col min="9491" max="9491" width="6.85546875" style="524" customWidth="1"/>
    <col min="9492" max="9492" width="8" style="524" customWidth="1"/>
    <col min="9493" max="9493" width="23.42578125" style="524" customWidth="1"/>
    <col min="9494" max="9494" width="6.140625" style="524" customWidth="1"/>
    <col min="9495" max="9496" width="8.140625" style="524" customWidth="1"/>
    <col min="9497" max="9728" width="9.140625" style="524"/>
    <col min="9729" max="9729" width="3.42578125" style="524" customWidth="1"/>
    <col min="9730" max="9730" width="3.85546875" style="524" customWidth="1"/>
    <col min="9731" max="9731" width="3.42578125" style="524" customWidth="1"/>
    <col min="9732" max="9732" width="18.42578125" style="524" customWidth="1"/>
    <col min="9733" max="9733" width="9.85546875" style="524" customWidth="1"/>
    <col min="9734" max="9734" width="6" style="524" customWidth="1"/>
    <col min="9735" max="9735" width="7.85546875" style="524" customWidth="1"/>
    <col min="9736" max="9736" width="8.5703125" style="524" customWidth="1"/>
    <col min="9737" max="9737" width="8.28515625" style="524" customWidth="1"/>
    <col min="9738" max="9738" width="8.140625" style="524" customWidth="1"/>
    <col min="9739" max="9739" width="6.42578125" style="524" customWidth="1"/>
    <col min="9740" max="9740" width="8.5703125" style="524" customWidth="1"/>
    <col min="9741" max="9741" width="9.140625" style="524" customWidth="1"/>
    <col min="9742" max="9742" width="7.85546875" style="524" customWidth="1"/>
    <col min="9743" max="9743" width="6.42578125" style="524" customWidth="1"/>
    <col min="9744" max="9744" width="8.140625" style="524" customWidth="1"/>
    <col min="9745" max="9745" width="8.85546875" style="524" customWidth="1"/>
    <col min="9746" max="9746" width="14" style="524" customWidth="1"/>
    <col min="9747" max="9747" width="6.85546875" style="524" customWidth="1"/>
    <col min="9748" max="9748" width="8" style="524" customWidth="1"/>
    <col min="9749" max="9749" width="23.42578125" style="524" customWidth="1"/>
    <col min="9750" max="9750" width="6.140625" style="524" customWidth="1"/>
    <col min="9751" max="9752" width="8.140625" style="524" customWidth="1"/>
    <col min="9753" max="9984" width="9.140625" style="524"/>
    <col min="9985" max="9985" width="3.42578125" style="524" customWidth="1"/>
    <col min="9986" max="9986" width="3.85546875" style="524" customWidth="1"/>
    <col min="9987" max="9987" width="3.42578125" style="524" customWidth="1"/>
    <col min="9988" max="9988" width="18.42578125" style="524" customWidth="1"/>
    <col min="9989" max="9989" width="9.85546875" style="524" customWidth="1"/>
    <col min="9990" max="9990" width="6" style="524" customWidth="1"/>
    <col min="9991" max="9991" width="7.85546875" style="524" customWidth="1"/>
    <col min="9992" max="9992" width="8.5703125" style="524" customWidth="1"/>
    <col min="9993" max="9993" width="8.28515625" style="524" customWidth="1"/>
    <col min="9994" max="9994" width="8.140625" style="524" customWidth="1"/>
    <col min="9995" max="9995" width="6.42578125" style="524" customWidth="1"/>
    <col min="9996" max="9996" width="8.5703125" style="524" customWidth="1"/>
    <col min="9997" max="9997" width="9.140625" style="524" customWidth="1"/>
    <col min="9998" max="9998" width="7.85546875" style="524" customWidth="1"/>
    <col min="9999" max="9999" width="6.42578125" style="524" customWidth="1"/>
    <col min="10000" max="10000" width="8.140625" style="524" customWidth="1"/>
    <col min="10001" max="10001" width="8.85546875" style="524" customWidth="1"/>
    <col min="10002" max="10002" width="14" style="524" customWidth="1"/>
    <col min="10003" max="10003" width="6.85546875" style="524" customWidth="1"/>
    <col min="10004" max="10004" width="8" style="524" customWidth="1"/>
    <col min="10005" max="10005" width="23.42578125" style="524" customWidth="1"/>
    <col min="10006" max="10006" width="6.140625" style="524" customWidth="1"/>
    <col min="10007" max="10008" width="8.140625" style="524" customWidth="1"/>
    <col min="10009" max="10240" width="9.140625" style="524"/>
    <col min="10241" max="10241" width="3.42578125" style="524" customWidth="1"/>
    <col min="10242" max="10242" width="3.85546875" style="524" customWidth="1"/>
    <col min="10243" max="10243" width="3.42578125" style="524" customWidth="1"/>
    <col min="10244" max="10244" width="18.42578125" style="524" customWidth="1"/>
    <col min="10245" max="10245" width="9.85546875" style="524" customWidth="1"/>
    <col min="10246" max="10246" width="6" style="524" customWidth="1"/>
    <col min="10247" max="10247" width="7.85546875" style="524" customWidth="1"/>
    <col min="10248" max="10248" width="8.5703125" style="524" customWidth="1"/>
    <col min="10249" max="10249" width="8.28515625" style="524" customWidth="1"/>
    <col min="10250" max="10250" width="8.140625" style="524" customWidth="1"/>
    <col min="10251" max="10251" width="6.42578125" style="524" customWidth="1"/>
    <col min="10252" max="10252" width="8.5703125" style="524" customWidth="1"/>
    <col min="10253" max="10253" width="9.140625" style="524" customWidth="1"/>
    <col min="10254" max="10254" width="7.85546875" style="524" customWidth="1"/>
    <col min="10255" max="10255" width="6.42578125" style="524" customWidth="1"/>
    <col min="10256" max="10256" width="8.140625" style="524" customWidth="1"/>
    <col min="10257" max="10257" width="8.85546875" style="524" customWidth="1"/>
    <col min="10258" max="10258" width="14" style="524" customWidth="1"/>
    <col min="10259" max="10259" width="6.85546875" style="524" customWidth="1"/>
    <col min="10260" max="10260" width="8" style="524" customWidth="1"/>
    <col min="10261" max="10261" width="23.42578125" style="524" customWidth="1"/>
    <col min="10262" max="10262" width="6.140625" style="524" customWidth="1"/>
    <col min="10263" max="10264" width="8.140625" style="524" customWidth="1"/>
    <col min="10265" max="10496" width="9.140625" style="524"/>
    <col min="10497" max="10497" width="3.42578125" style="524" customWidth="1"/>
    <col min="10498" max="10498" width="3.85546875" style="524" customWidth="1"/>
    <col min="10499" max="10499" width="3.42578125" style="524" customWidth="1"/>
    <col min="10500" max="10500" width="18.42578125" style="524" customWidth="1"/>
    <col min="10501" max="10501" width="9.85546875" style="524" customWidth="1"/>
    <col min="10502" max="10502" width="6" style="524" customWidth="1"/>
    <col min="10503" max="10503" width="7.85546875" style="524" customWidth="1"/>
    <col min="10504" max="10504" width="8.5703125" style="524" customWidth="1"/>
    <col min="10505" max="10505" width="8.28515625" style="524" customWidth="1"/>
    <col min="10506" max="10506" width="8.140625" style="524" customWidth="1"/>
    <col min="10507" max="10507" width="6.42578125" style="524" customWidth="1"/>
    <col min="10508" max="10508" width="8.5703125" style="524" customWidth="1"/>
    <col min="10509" max="10509" width="9.140625" style="524" customWidth="1"/>
    <col min="10510" max="10510" width="7.85546875" style="524" customWidth="1"/>
    <col min="10511" max="10511" width="6.42578125" style="524" customWidth="1"/>
    <col min="10512" max="10512" width="8.140625" style="524" customWidth="1"/>
    <col min="10513" max="10513" width="8.85546875" style="524" customWidth="1"/>
    <col min="10514" max="10514" width="14" style="524" customWidth="1"/>
    <col min="10515" max="10515" width="6.85546875" style="524" customWidth="1"/>
    <col min="10516" max="10516" width="8" style="524" customWidth="1"/>
    <col min="10517" max="10517" width="23.42578125" style="524" customWidth="1"/>
    <col min="10518" max="10518" width="6.140625" style="524" customWidth="1"/>
    <col min="10519" max="10520" width="8.140625" style="524" customWidth="1"/>
    <col min="10521" max="10752" width="9.140625" style="524"/>
    <col min="10753" max="10753" width="3.42578125" style="524" customWidth="1"/>
    <col min="10754" max="10754" width="3.85546875" style="524" customWidth="1"/>
    <col min="10755" max="10755" width="3.42578125" style="524" customWidth="1"/>
    <col min="10756" max="10756" width="18.42578125" style="524" customWidth="1"/>
    <col min="10757" max="10757" width="9.85546875" style="524" customWidth="1"/>
    <col min="10758" max="10758" width="6" style="524" customWidth="1"/>
    <col min="10759" max="10759" width="7.85546875" style="524" customWidth="1"/>
    <col min="10760" max="10760" width="8.5703125" style="524" customWidth="1"/>
    <col min="10761" max="10761" width="8.28515625" style="524" customWidth="1"/>
    <col min="10762" max="10762" width="8.140625" style="524" customWidth="1"/>
    <col min="10763" max="10763" width="6.42578125" style="524" customWidth="1"/>
    <col min="10764" max="10764" width="8.5703125" style="524" customWidth="1"/>
    <col min="10765" max="10765" width="9.140625" style="524" customWidth="1"/>
    <col min="10766" max="10766" width="7.85546875" style="524" customWidth="1"/>
    <col min="10767" max="10767" width="6.42578125" style="524" customWidth="1"/>
    <col min="10768" max="10768" width="8.140625" style="524" customWidth="1"/>
    <col min="10769" max="10769" width="8.85546875" style="524" customWidth="1"/>
    <col min="10770" max="10770" width="14" style="524" customWidth="1"/>
    <col min="10771" max="10771" width="6.85546875" style="524" customWidth="1"/>
    <col min="10772" max="10772" width="8" style="524" customWidth="1"/>
    <col min="10773" max="10773" width="23.42578125" style="524" customWidth="1"/>
    <col min="10774" max="10774" width="6.140625" style="524" customWidth="1"/>
    <col min="10775" max="10776" width="8.140625" style="524" customWidth="1"/>
    <col min="10777" max="11008" width="9.140625" style="524"/>
    <col min="11009" max="11009" width="3.42578125" style="524" customWidth="1"/>
    <col min="11010" max="11010" width="3.85546875" style="524" customWidth="1"/>
    <col min="11011" max="11011" width="3.42578125" style="524" customWidth="1"/>
    <col min="11012" max="11012" width="18.42578125" style="524" customWidth="1"/>
    <col min="11013" max="11013" width="9.85546875" style="524" customWidth="1"/>
    <col min="11014" max="11014" width="6" style="524" customWidth="1"/>
    <col min="11015" max="11015" width="7.85546875" style="524" customWidth="1"/>
    <col min="11016" max="11016" width="8.5703125" style="524" customWidth="1"/>
    <col min="11017" max="11017" width="8.28515625" style="524" customWidth="1"/>
    <col min="11018" max="11018" width="8.140625" style="524" customWidth="1"/>
    <col min="11019" max="11019" width="6.42578125" style="524" customWidth="1"/>
    <col min="11020" max="11020" width="8.5703125" style="524" customWidth="1"/>
    <col min="11021" max="11021" width="9.140625" style="524" customWidth="1"/>
    <col min="11022" max="11022" width="7.85546875" style="524" customWidth="1"/>
    <col min="11023" max="11023" width="6.42578125" style="524" customWidth="1"/>
    <col min="11024" max="11024" width="8.140625" style="524" customWidth="1"/>
    <col min="11025" max="11025" width="8.85546875" style="524" customWidth="1"/>
    <col min="11026" max="11026" width="14" style="524" customWidth="1"/>
    <col min="11027" max="11027" width="6.85546875" style="524" customWidth="1"/>
    <col min="11028" max="11028" width="8" style="524" customWidth="1"/>
    <col min="11029" max="11029" width="23.42578125" style="524" customWidth="1"/>
    <col min="11030" max="11030" width="6.140625" style="524" customWidth="1"/>
    <col min="11031" max="11032" width="8.140625" style="524" customWidth="1"/>
    <col min="11033" max="11264" width="9.140625" style="524"/>
    <col min="11265" max="11265" width="3.42578125" style="524" customWidth="1"/>
    <col min="11266" max="11266" width="3.85546875" style="524" customWidth="1"/>
    <col min="11267" max="11267" width="3.42578125" style="524" customWidth="1"/>
    <col min="11268" max="11268" width="18.42578125" style="524" customWidth="1"/>
    <col min="11269" max="11269" width="9.85546875" style="524" customWidth="1"/>
    <col min="11270" max="11270" width="6" style="524" customWidth="1"/>
    <col min="11271" max="11271" width="7.85546875" style="524" customWidth="1"/>
    <col min="11272" max="11272" width="8.5703125" style="524" customWidth="1"/>
    <col min="11273" max="11273" width="8.28515625" style="524" customWidth="1"/>
    <col min="11274" max="11274" width="8.140625" style="524" customWidth="1"/>
    <col min="11275" max="11275" width="6.42578125" style="524" customWidth="1"/>
    <col min="11276" max="11276" width="8.5703125" style="524" customWidth="1"/>
    <col min="11277" max="11277" width="9.140625" style="524" customWidth="1"/>
    <col min="11278" max="11278" width="7.85546875" style="524" customWidth="1"/>
    <col min="11279" max="11279" width="6.42578125" style="524" customWidth="1"/>
    <col min="11280" max="11280" width="8.140625" style="524" customWidth="1"/>
    <col min="11281" max="11281" width="8.85546875" style="524" customWidth="1"/>
    <col min="11282" max="11282" width="14" style="524" customWidth="1"/>
    <col min="11283" max="11283" width="6.85546875" style="524" customWidth="1"/>
    <col min="11284" max="11284" width="8" style="524" customWidth="1"/>
    <col min="11285" max="11285" width="23.42578125" style="524" customWidth="1"/>
    <col min="11286" max="11286" width="6.140625" style="524" customWidth="1"/>
    <col min="11287" max="11288" width="8.140625" style="524" customWidth="1"/>
    <col min="11289" max="11520" width="9.140625" style="524"/>
    <col min="11521" max="11521" width="3.42578125" style="524" customWidth="1"/>
    <col min="11522" max="11522" width="3.85546875" style="524" customWidth="1"/>
    <col min="11523" max="11523" width="3.42578125" style="524" customWidth="1"/>
    <col min="11524" max="11524" width="18.42578125" style="524" customWidth="1"/>
    <col min="11525" max="11525" width="9.85546875" style="524" customWidth="1"/>
    <col min="11526" max="11526" width="6" style="524" customWidth="1"/>
    <col min="11527" max="11527" width="7.85546875" style="524" customWidth="1"/>
    <col min="11528" max="11528" width="8.5703125" style="524" customWidth="1"/>
    <col min="11529" max="11529" width="8.28515625" style="524" customWidth="1"/>
    <col min="11530" max="11530" width="8.140625" style="524" customWidth="1"/>
    <col min="11531" max="11531" width="6.42578125" style="524" customWidth="1"/>
    <col min="11532" max="11532" width="8.5703125" style="524" customWidth="1"/>
    <col min="11533" max="11533" width="9.140625" style="524" customWidth="1"/>
    <col min="11534" max="11534" width="7.85546875" style="524" customWidth="1"/>
    <col min="11535" max="11535" width="6.42578125" style="524" customWidth="1"/>
    <col min="11536" max="11536" width="8.140625" style="524" customWidth="1"/>
    <col min="11537" max="11537" width="8.85546875" style="524" customWidth="1"/>
    <col min="11538" max="11538" width="14" style="524" customWidth="1"/>
    <col min="11539" max="11539" width="6.85546875" style="524" customWidth="1"/>
    <col min="11540" max="11540" width="8" style="524" customWidth="1"/>
    <col min="11541" max="11541" width="23.42578125" style="524" customWidth="1"/>
    <col min="11542" max="11542" width="6.140625" style="524" customWidth="1"/>
    <col min="11543" max="11544" width="8.140625" style="524" customWidth="1"/>
    <col min="11545" max="11776" width="9.140625" style="524"/>
    <col min="11777" max="11777" width="3.42578125" style="524" customWidth="1"/>
    <col min="11778" max="11778" width="3.85546875" style="524" customWidth="1"/>
    <col min="11779" max="11779" width="3.42578125" style="524" customWidth="1"/>
    <col min="11780" max="11780" width="18.42578125" style="524" customWidth="1"/>
    <col min="11781" max="11781" width="9.85546875" style="524" customWidth="1"/>
    <col min="11782" max="11782" width="6" style="524" customWidth="1"/>
    <col min="11783" max="11783" width="7.85546875" style="524" customWidth="1"/>
    <col min="11784" max="11784" width="8.5703125" style="524" customWidth="1"/>
    <col min="11785" max="11785" width="8.28515625" style="524" customWidth="1"/>
    <col min="11786" max="11786" width="8.140625" style="524" customWidth="1"/>
    <col min="11787" max="11787" width="6.42578125" style="524" customWidth="1"/>
    <col min="11788" max="11788" width="8.5703125" style="524" customWidth="1"/>
    <col min="11789" max="11789" width="9.140625" style="524" customWidth="1"/>
    <col min="11790" max="11790" width="7.85546875" style="524" customWidth="1"/>
    <col min="11791" max="11791" width="6.42578125" style="524" customWidth="1"/>
    <col min="11792" max="11792" width="8.140625" style="524" customWidth="1"/>
    <col min="11793" max="11793" width="8.85546875" style="524" customWidth="1"/>
    <col min="11794" max="11794" width="14" style="524" customWidth="1"/>
    <col min="11795" max="11795" width="6.85546875" style="524" customWidth="1"/>
    <col min="11796" max="11796" width="8" style="524" customWidth="1"/>
    <col min="11797" max="11797" width="23.42578125" style="524" customWidth="1"/>
    <col min="11798" max="11798" width="6.140625" style="524" customWidth="1"/>
    <col min="11799" max="11800" width="8.140625" style="524" customWidth="1"/>
    <col min="11801" max="12032" width="9.140625" style="524"/>
    <col min="12033" max="12033" width="3.42578125" style="524" customWidth="1"/>
    <col min="12034" max="12034" width="3.85546875" style="524" customWidth="1"/>
    <col min="12035" max="12035" width="3.42578125" style="524" customWidth="1"/>
    <col min="12036" max="12036" width="18.42578125" style="524" customWidth="1"/>
    <col min="12037" max="12037" width="9.85546875" style="524" customWidth="1"/>
    <col min="12038" max="12038" width="6" style="524" customWidth="1"/>
    <col min="12039" max="12039" width="7.85546875" style="524" customWidth="1"/>
    <col min="12040" max="12040" width="8.5703125" style="524" customWidth="1"/>
    <col min="12041" max="12041" width="8.28515625" style="524" customWidth="1"/>
    <col min="12042" max="12042" width="8.140625" style="524" customWidth="1"/>
    <col min="12043" max="12043" width="6.42578125" style="524" customWidth="1"/>
    <col min="12044" max="12044" width="8.5703125" style="524" customWidth="1"/>
    <col min="12045" max="12045" width="9.140625" style="524" customWidth="1"/>
    <col min="12046" max="12046" width="7.85546875" style="524" customWidth="1"/>
    <col min="12047" max="12047" width="6.42578125" style="524" customWidth="1"/>
    <col min="12048" max="12048" width="8.140625" style="524" customWidth="1"/>
    <col min="12049" max="12049" width="8.85546875" style="524" customWidth="1"/>
    <col min="12050" max="12050" width="14" style="524" customWidth="1"/>
    <col min="12051" max="12051" width="6.85546875" style="524" customWidth="1"/>
    <col min="12052" max="12052" width="8" style="524" customWidth="1"/>
    <col min="12053" max="12053" width="23.42578125" style="524" customWidth="1"/>
    <col min="12054" max="12054" width="6.140625" style="524" customWidth="1"/>
    <col min="12055" max="12056" width="8.140625" style="524" customWidth="1"/>
    <col min="12057" max="12288" width="9.140625" style="524"/>
    <col min="12289" max="12289" width="3.42578125" style="524" customWidth="1"/>
    <col min="12290" max="12290" width="3.85546875" style="524" customWidth="1"/>
    <col min="12291" max="12291" width="3.42578125" style="524" customWidth="1"/>
    <col min="12292" max="12292" width="18.42578125" style="524" customWidth="1"/>
    <col min="12293" max="12293" width="9.85546875" style="524" customWidth="1"/>
    <col min="12294" max="12294" width="6" style="524" customWidth="1"/>
    <col min="12295" max="12295" width="7.85546875" style="524" customWidth="1"/>
    <col min="12296" max="12296" width="8.5703125" style="524" customWidth="1"/>
    <col min="12297" max="12297" width="8.28515625" style="524" customWidth="1"/>
    <col min="12298" max="12298" width="8.140625" style="524" customWidth="1"/>
    <col min="12299" max="12299" width="6.42578125" style="524" customWidth="1"/>
    <col min="12300" max="12300" width="8.5703125" style="524" customWidth="1"/>
    <col min="12301" max="12301" width="9.140625" style="524" customWidth="1"/>
    <col min="12302" max="12302" width="7.85546875" style="524" customWidth="1"/>
    <col min="12303" max="12303" width="6.42578125" style="524" customWidth="1"/>
    <col min="12304" max="12304" width="8.140625" style="524" customWidth="1"/>
    <col min="12305" max="12305" width="8.85546875" style="524" customWidth="1"/>
    <col min="12306" max="12306" width="14" style="524" customWidth="1"/>
    <col min="12307" max="12307" width="6.85546875" style="524" customWidth="1"/>
    <col min="12308" max="12308" width="8" style="524" customWidth="1"/>
    <col min="12309" max="12309" width="23.42578125" style="524" customWidth="1"/>
    <col min="12310" max="12310" width="6.140625" style="524" customWidth="1"/>
    <col min="12311" max="12312" width="8.140625" style="524" customWidth="1"/>
    <col min="12313" max="12544" width="9.140625" style="524"/>
    <col min="12545" max="12545" width="3.42578125" style="524" customWidth="1"/>
    <col min="12546" max="12546" width="3.85546875" style="524" customWidth="1"/>
    <col min="12547" max="12547" width="3.42578125" style="524" customWidth="1"/>
    <col min="12548" max="12548" width="18.42578125" style="524" customWidth="1"/>
    <col min="12549" max="12549" width="9.85546875" style="524" customWidth="1"/>
    <col min="12550" max="12550" width="6" style="524" customWidth="1"/>
    <col min="12551" max="12551" width="7.85546875" style="524" customWidth="1"/>
    <col min="12552" max="12552" width="8.5703125" style="524" customWidth="1"/>
    <col min="12553" max="12553" width="8.28515625" style="524" customWidth="1"/>
    <col min="12554" max="12554" width="8.140625" style="524" customWidth="1"/>
    <col min="12555" max="12555" width="6.42578125" style="524" customWidth="1"/>
    <col min="12556" max="12556" width="8.5703125" style="524" customWidth="1"/>
    <col min="12557" max="12557" width="9.140625" style="524" customWidth="1"/>
    <col min="12558" max="12558" width="7.85546875" style="524" customWidth="1"/>
    <col min="12559" max="12559" width="6.42578125" style="524" customWidth="1"/>
    <col min="12560" max="12560" width="8.140625" style="524" customWidth="1"/>
    <col min="12561" max="12561" width="8.85546875" style="524" customWidth="1"/>
    <col min="12562" max="12562" width="14" style="524" customWidth="1"/>
    <col min="12563" max="12563" width="6.85546875" style="524" customWidth="1"/>
    <col min="12564" max="12564" width="8" style="524" customWidth="1"/>
    <col min="12565" max="12565" width="23.42578125" style="524" customWidth="1"/>
    <col min="12566" max="12566" width="6.140625" style="524" customWidth="1"/>
    <col min="12567" max="12568" width="8.140625" style="524" customWidth="1"/>
    <col min="12569" max="12800" width="9.140625" style="524"/>
    <col min="12801" max="12801" width="3.42578125" style="524" customWidth="1"/>
    <col min="12802" max="12802" width="3.85546875" style="524" customWidth="1"/>
    <col min="12803" max="12803" width="3.42578125" style="524" customWidth="1"/>
    <col min="12804" max="12804" width="18.42578125" style="524" customWidth="1"/>
    <col min="12805" max="12805" width="9.85546875" style="524" customWidth="1"/>
    <col min="12806" max="12806" width="6" style="524" customWidth="1"/>
    <col min="12807" max="12807" width="7.85546875" style="524" customWidth="1"/>
    <col min="12808" max="12808" width="8.5703125" style="524" customWidth="1"/>
    <col min="12809" max="12809" width="8.28515625" style="524" customWidth="1"/>
    <col min="12810" max="12810" width="8.140625" style="524" customWidth="1"/>
    <col min="12811" max="12811" width="6.42578125" style="524" customWidth="1"/>
    <col min="12812" max="12812" width="8.5703125" style="524" customWidth="1"/>
    <col min="12813" max="12813" width="9.140625" style="524" customWidth="1"/>
    <col min="12814" max="12814" width="7.85546875" style="524" customWidth="1"/>
    <col min="12815" max="12815" width="6.42578125" style="524" customWidth="1"/>
    <col min="12816" max="12816" width="8.140625" style="524" customWidth="1"/>
    <col min="12817" max="12817" width="8.85546875" style="524" customWidth="1"/>
    <col min="12818" max="12818" width="14" style="524" customWidth="1"/>
    <col min="12819" max="12819" width="6.85546875" style="524" customWidth="1"/>
    <col min="12820" max="12820" width="8" style="524" customWidth="1"/>
    <col min="12821" max="12821" width="23.42578125" style="524" customWidth="1"/>
    <col min="12822" max="12822" width="6.140625" style="524" customWidth="1"/>
    <col min="12823" max="12824" width="8.140625" style="524" customWidth="1"/>
    <col min="12825" max="13056" width="9.140625" style="524"/>
    <col min="13057" max="13057" width="3.42578125" style="524" customWidth="1"/>
    <col min="13058" max="13058" width="3.85546875" style="524" customWidth="1"/>
    <col min="13059" max="13059" width="3.42578125" style="524" customWidth="1"/>
    <col min="13060" max="13060" width="18.42578125" style="524" customWidth="1"/>
    <col min="13061" max="13061" width="9.85546875" style="524" customWidth="1"/>
    <col min="13062" max="13062" width="6" style="524" customWidth="1"/>
    <col min="13063" max="13063" width="7.85546875" style="524" customWidth="1"/>
    <col min="13064" max="13064" width="8.5703125" style="524" customWidth="1"/>
    <col min="13065" max="13065" width="8.28515625" style="524" customWidth="1"/>
    <col min="13066" max="13066" width="8.140625" style="524" customWidth="1"/>
    <col min="13067" max="13067" width="6.42578125" style="524" customWidth="1"/>
    <col min="13068" max="13068" width="8.5703125" style="524" customWidth="1"/>
    <col min="13069" max="13069" width="9.140625" style="524" customWidth="1"/>
    <col min="13070" max="13070" width="7.85546875" style="524" customWidth="1"/>
    <col min="13071" max="13071" width="6.42578125" style="524" customWidth="1"/>
    <col min="13072" max="13072" width="8.140625" style="524" customWidth="1"/>
    <col min="13073" max="13073" width="8.85546875" style="524" customWidth="1"/>
    <col min="13074" max="13074" width="14" style="524" customWidth="1"/>
    <col min="13075" max="13075" width="6.85546875" style="524" customWidth="1"/>
    <col min="13076" max="13076" width="8" style="524" customWidth="1"/>
    <col min="13077" max="13077" width="23.42578125" style="524" customWidth="1"/>
    <col min="13078" max="13078" width="6.140625" style="524" customWidth="1"/>
    <col min="13079" max="13080" width="8.140625" style="524" customWidth="1"/>
    <col min="13081" max="13312" width="9.140625" style="524"/>
    <col min="13313" max="13313" width="3.42578125" style="524" customWidth="1"/>
    <col min="13314" max="13314" width="3.85546875" style="524" customWidth="1"/>
    <col min="13315" max="13315" width="3.42578125" style="524" customWidth="1"/>
    <col min="13316" max="13316" width="18.42578125" style="524" customWidth="1"/>
    <col min="13317" max="13317" width="9.85546875" style="524" customWidth="1"/>
    <col min="13318" max="13318" width="6" style="524" customWidth="1"/>
    <col min="13319" max="13319" width="7.85546875" style="524" customWidth="1"/>
    <col min="13320" max="13320" width="8.5703125" style="524" customWidth="1"/>
    <col min="13321" max="13321" width="8.28515625" style="524" customWidth="1"/>
    <col min="13322" max="13322" width="8.140625" style="524" customWidth="1"/>
    <col min="13323" max="13323" width="6.42578125" style="524" customWidth="1"/>
    <col min="13324" max="13324" width="8.5703125" style="524" customWidth="1"/>
    <col min="13325" max="13325" width="9.140625" style="524" customWidth="1"/>
    <col min="13326" max="13326" width="7.85546875" style="524" customWidth="1"/>
    <col min="13327" max="13327" width="6.42578125" style="524" customWidth="1"/>
    <col min="13328" max="13328" width="8.140625" style="524" customWidth="1"/>
    <col min="13329" max="13329" width="8.85546875" style="524" customWidth="1"/>
    <col min="13330" max="13330" width="14" style="524" customWidth="1"/>
    <col min="13331" max="13331" width="6.85546875" style="524" customWidth="1"/>
    <col min="13332" max="13332" width="8" style="524" customWidth="1"/>
    <col min="13333" max="13333" width="23.42578125" style="524" customWidth="1"/>
    <col min="13334" max="13334" width="6.140625" style="524" customWidth="1"/>
    <col min="13335" max="13336" width="8.140625" style="524" customWidth="1"/>
    <col min="13337" max="13568" width="9.140625" style="524"/>
    <col min="13569" max="13569" width="3.42578125" style="524" customWidth="1"/>
    <col min="13570" max="13570" width="3.85546875" style="524" customWidth="1"/>
    <col min="13571" max="13571" width="3.42578125" style="524" customWidth="1"/>
    <col min="13572" max="13572" width="18.42578125" style="524" customWidth="1"/>
    <col min="13573" max="13573" width="9.85546875" style="524" customWidth="1"/>
    <col min="13574" max="13574" width="6" style="524" customWidth="1"/>
    <col min="13575" max="13575" width="7.85546875" style="524" customWidth="1"/>
    <col min="13576" max="13576" width="8.5703125" style="524" customWidth="1"/>
    <col min="13577" max="13577" width="8.28515625" style="524" customWidth="1"/>
    <col min="13578" max="13578" width="8.140625" style="524" customWidth="1"/>
    <col min="13579" max="13579" width="6.42578125" style="524" customWidth="1"/>
    <col min="13580" max="13580" width="8.5703125" style="524" customWidth="1"/>
    <col min="13581" max="13581" width="9.140625" style="524" customWidth="1"/>
    <col min="13582" max="13582" width="7.85546875" style="524" customWidth="1"/>
    <col min="13583" max="13583" width="6.42578125" style="524" customWidth="1"/>
    <col min="13584" max="13584" width="8.140625" style="524" customWidth="1"/>
    <col min="13585" max="13585" width="8.85546875" style="524" customWidth="1"/>
    <col min="13586" max="13586" width="14" style="524" customWidth="1"/>
    <col min="13587" max="13587" width="6.85546875" style="524" customWidth="1"/>
    <col min="13588" max="13588" width="8" style="524" customWidth="1"/>
    <col min="13589" max="13589" width="23.42578125" style="524" customWidth="1"/>
    <col min="13590" max="13590" width="6.140625" style="524" customWidth="1"/>
    <col min="13591" max="13592" width="8.140625" style="524" customWidth="1"/>
    <col min="13593" max="13824" width="9.140625" style="524"/>
    <col min="13825" max="13825" width="3.42578125" style="524" customWidth="1"/>
    <col min="13826" max="13826" width="3.85546875" style="524" customWidth="1"/>
    <col min="13827" max="13827" width="3.42578125" style="524" customWidth="1"/>
    <col min="13828" max="13828" width="18.42578125" style="524" customWidth="1"/>
    <col min="13829" max="13829" width="9.85546875" style="524" customWidth="1"/>
    <col min="13830" max="13830" width="6" style="524" customWidth="1"/>
    <col min="13831" max="13831" width="7.85546875" style="524" customWidth="1"/>
    <col min="13832" max="13832" width="8.5703125" style="524" customWidth="1"/>
    <col min="13833" max="13833" width="8.28515625" style="524" customWidth="1"/>
    <col min="13834" max="13834" width="8.140625" style="524" customWidth="1"/>
    <col min="13835" max="13835" width="6.42578125" style="524" customWidth="1"/>
    <col min="13836" max="13836" width="8.5703125" style="524" customWidth="1"/>
    <col min="13837" max="13837" width="9.140625" style="524" customWidth="1"/>
    <col min="13838" max="13838" width="7.85546875" style="524" customWidth="1"/>
    <col min="13839" max="13839" width="6.42578125" style="524" customWidth="1"/>
    <col min="13840" max="13840" width="8.140625" style="524" customWidth="1"/>
    <col min="13841" max="13841" width="8.85546875" style="524" customWidth="1"/>
    <col min="13842" max="13842" width="14" style="524" customWidth="1"/>
    <col min="13843" max="13843" width="6.85546875" style="524" customWidth="1"/>
    <col min="13844" max="13844" width="8" style="524" customWidth="1"/>
    <col min="13845" max="13845" width="23.42578125" style="524" customWidth="1"/>
    <col min="13846" max="13846" width="6.140625" style="524" customWidth="1"/>
    <col min="13847" max="13848" width="8.140625" style="524" customWidth="1"/>
    <col min="13849" max="14080" width="9.140625" style="524"/>
    <col min="14081" max="14081" width="3.42578125" style="524" customWidth="1"/>
    <col min="14082" max="14082" width="3.85546875" style="524" customWidth="1"/>
    <col min="14083" max="14083" width="3.42578125" style="524" customWidth="1"/>
    <col min="14084" max="14084" width="18.42578125" style="524" customWidth="1"/>
    <col min="14085" max="14085" width="9.85546875" style="524" customWidth="1"/>
    <col min="14086" max="14086" width="6" style="524" customWidth="1"/>
    <col min="14087" max="14087" width="7.85546875" style="524" customWidth="1"/>
    <col min="14088" max="14088" width="8.5703125" style="524" customWidth="1"/>
    <col min="14089" max="14089" width="8.28515625" style="524" customWidth="1"/>
    <col min="14090" max="14090" width="8.140625" style="524" customWidth="1"/>
    <col min="14091" max="14091" width="6.42578125" style="524" customWidth="1"/>
    <col min="14092" max="14092" width="8.5703125" style="524" customWidth="1"/>
    <col min="14093" max="14093" width="9.140625" style="524" customWidth="1"/>
    <col min="14094" max="14094" width="7.85546875" style="524" customWidth="1"/>
    <col min="14095" max="14095" width="6.42578125" style="524" customWidth="1"/>
    <col min="14096" max="14096" width="8.140625" style="524" customWidth="1"/>
    <col min="14097" max="14097" width="8.85546875" style="524" customWidth="1"/>
    <col min="14098" max="14098" width="14" style="524" customWidth="1"/>
    <col min="14099" max="14099" width="6.85546875" style="524" customWidth="1"/>
    <col min="14100" max="14100" width="8" style="524" customWidth="1"/>
    <col min="14101" max="14101" width="23.42578125" style="524" customWidth="1"/>
    <col min="14102" max="14102" width="6.140625" style="524" customWidth="1"/>
    <col min="14103" max="14104" width="8.140625" style="524" customWidth="1"/>
    <col min="14105" max="14336" width="9.140625" style="524"/>
    <col min="14337" max="14337" width="3.42578125" style="524" customWidth="1"/>
    <col min="14338" max="14338" width="3.85546875" style="524" customWidth="1"/>
    <col min="14339" max="14339" width="3.42578125" style="524" customWidth="1"/>
    <col min="14340" max="14340" width="18.42578125" style="524" customWidth="1"/>
    <col min="14341" max="14341" width="9.85546875" style="524" customWidth="1"/>
    <col min="14342" max="14342" width="6" style="524" customWidth="1"/>
    <col min="14343" max="14343" width="7.85546875" style="524" customWidth="1"/>
    <col min="14344" max="14344" width="8.5703125" style="524" customWidth="1"/>
    <col min="14345" max="14345" width="8.28515625" style="524" customWidth="1"/>
    <col min="14346" max="14346" width="8.140625" style="524" customWidth="1"/>
    <col min="14347" max="14347" width="6.42578125" style="524" customWidth="1"/>
    <col min="14348" max="14348" width="8.5703125" style="524" customWidth="1"/>
    <col min="14349" max="14349" width="9.140625" style="524" customWidth="1"/>
    <col min="14350" max="14350" width="7.85546875" style="524" customWidth="1"/>
    <col min="14351" max="14351" width="6.42578125" style="524" customWidth="1"/>
    <col min="14352" max="14352" width="8.140625" style="524" customWidth="1"/>
    <col min="14353" max="14353" width="8.85546875" style="524" customWidth="1"/>
    <col min="14354" max="14354" width="14" style="524" customWidth="1"/>
    <col min="14355" max="14355" width="6.85546875" style="524" customWidth="1"/>
    <col min="14356" max="14356" width="8" style="524" customWidth="1"/>
    <col min="14357" max="14357" width="23.42578125" style="524" customWidth="1"/>
    <col min="14358" max="14358" width="6.140625" style="524" customWidth="1"/>
    <col min="14359" max="14360" width="8.140625" style="524" customWidth="1"/>
    <col min="14361" max="14592" width="9.140625" style="524"/>
    <col min="14593" max="14593" width="3.42578125" style="524" customWidth="1"/>
    <col min="14594" max="14594" width="3.85546875" style="524" customWidth="1"/>
    <col min="14595" max="14595" width="3.42578125" style="524" customWidth="1"/>
    <col min="14596" max="14596" width="18.42578125" style="524" customWidth="1"/>
    <col min="14597" max="14597" width="9.85546875" style="524" customWidth="1"/>
    <col min="14598" max="14598" width="6" style="524" customWidth="1"/>
    <col min="14599" max="14599" width="7.85546875" style="524" customWidth="1"/>
    <col min="14600" max="14600" width="8.5703125" style="524" customWidth="1"/>
    <col min="14601" max="14601" width="8.28515625" style="524" customWidth="1"/>
    <col min="14602" max="14602" width="8.140625" style="524" customWidth="1"/>
    <col min="14603" max="14603" width="6.42578125" style="524" customWidth="1"/>
    <col min="14604" max="14604" width="8.5703125" style="524" customWidth="1"/>
    <col min="14605" max="14605" width="9.140625" style="524" customWidth="1"/>
    <col min="14606" max="14606" width="7.85546875" style="524" customWidth="1"/>
    <col min="14607" max="14607" width="6.42578125" style="524" customWidth="1"/>
    <col min="14608" max="14608" width="8.140625" style="524" customWidth="1"/>
    <col min="14609" max="14609" width="8.85546875" style="524" customWidth="1"/>
    <col min="14610" max="14610" width="14" style="524" customWidth="1"/>
    <col min="14611" max="14611" width="6.85546875" style="524" customWidth="1"/>
    <col min="14612" max="14612" width="8" style="524" customWidth="1"/>
    <col min="14613" max="14613" width="23.42578125" style="524" customWidth="1"/>
    <col min="14614" max="14614" width="6.140625" style="524" customWidth="1"/>
    <col min="14615" max="14616" width="8.140625" style="524" customWidth="1"/>
    <col min="14617" max="14848" width="9.140625" style="524"/>
    <col min="14849" max="14849" width="3.42578125" style="524" customWidth="1"/>
    <col min="14850" max="14850" width="3.85546875" style="524" customWidth="1"/>
    <col min="14851" max="14851" width="3.42578125" style="524" customWidth="1"/>
    <col min="14852" max="14852" width="18.42578125" style="524" customWidth="1"/>
    <col min="14853" max="14853" width="9.85546875" style="524" customWidth="1"/>
    <col min="14854" max="14854" width="6" style="524" customWidth="1"/>
    <col min="14855" max="14855" width="7.85546875" style="524" customWidth="1"/>
    <col min="14856" max="14856" width="8.5703125" style="524" customWidth="1"/>
    <col min="14857" max="14857" width="8.28515625" style="524" customWidth="1"/>
    <col min="14858" max="14858" width="8.140625" style="524" customWidth="1"/>
    <col min="14859" max="14859" width="6.42578125" style="524" customWidth="1"/>
    <col min="14860" max="14860" width="8.5703125" style="524" customWidth="1"/>
    <col min="14861" max="14861" width="9.140625" style="524" customWidth="1"/>
    <col min="14862" max="14862" width="7.85546875" style="524" customWidth="1"/>
    <col min="14863" max="14863" width="6.42578125" style="524" customWidth="1"/>
    <col min="14864" max="14864" width="8.140625" style="524" customWidth="1"/>
    <col min="14865" max="14865" width="8.85546875" style="524" customWidth="1"/>
    <col min="14866" max="14866" width="14" style="524" customWidth="1"/>
    <col min="14867" max="14867" width="6.85546875" style="524" customWidth="1"/>
    <col min="14868" max="14868" width="8" style="524" customWidth="1"/>
    <col min="14869" max="14869" width="23.42578125" style="524" customWidth="1"/>
    <col min="14870" max="14870" width="6.140625" style="524" customWidth="1"/>
    <col min="14871" max="14872" width="8.140625" style="524" customWidth="1"/>
    <col min="14873" max="15104" width="9.140625" style="524"/>
    <col min="15105" max="15105" width="3.42578125" style="524" customWidth="1"/>
    <col min="15106" max="15106" width="3.85546875" style="524" customWidth="1"/>
    <col min="15107" max="15107" width="3.42578125" style="524" customWidth="1"/>
    <col min="15108" max="15108" width="18.42578125" style="524" customWidth="1"/>
    <col min="15109" max="15109" width="9.85546875" style="524" customWidth="1"/>
    <col min="15110" max="15110" width="6" style="524" customWidth="1"/>
    <col min="15111" max="15111" width="7.85546875" style="524" customWidth="1"/>
    <col min="15112" max="15112" width="8.5703125" style="524" customWidth="1"/>
    <col min="15113" max="15113" width="8.28515625" style="524" customWidth="1"/>
    <col min="15114" max="15114" width="8.140625" style="524" customWidth="1"/>
    <col min="15115" max="15115" width="6.42578125" style="524" customWidth="1"/>
    <col min="15116" max="15116" width="8.5703125" style="524" customWidth="1"/>
    <col min="15117" max="15117" width="9.140625" style="524" customWidth="1"/>
    <col min="15118" max="15118" width="7.85546875" style="524" customWidth="1"/>
    <col min="15119" max="15119" width="6.42578125" style="524" customWidth="1"/>
    <col min="15120" max="15120" width="8.140625" style="524" customWidth="1"/>
    <col min="15121" max="15121" width="8.85546875" style="524" customWidth="1"/>
    <col min="15122" max="15122" width="14" style="524" customWidth="1"/>
    <col min="15123" max="15123" width="6.85546875" style="524" customWidth="1"/>
    <col min="15124" max="15124" width="8" style="524" customWidth="1"/>
    <col min="15125" max="15125" width="23.42578125" style="524" customWidth="1"/>
    <col min="15126" max="15126" width="6.140625" style="524" customWidth="1"/>
    <col min="15127" max="15128" width="8.140625" style="524" customWidth="1"/>
    <col min="15129" max="15360" width="9.140625" style="524"/>
    <col min="15361" max="15361" width="3.42578125" style="524" customWidth="1"/>
    <col min="15362" max="15362" width="3.85546875" style="524" customWidth="1"/>
    <col min="15363" max="15363" width="3.42578125" style="524" customWidth="1"/>
    <col min="15364" max="15364" width="18.42578125" style="524" customWidth="1"/>
    <col min="15365" max="15365" width="9.85546875" style="524" customWidth="1"/>
    <col min="15366" max="15366" width="6" style="524" customWidth="1"/>
    <col min="15367" max="15367" width="7.85546875" style="524" customWidth="1"/>
    <col min="15368" max="15368" width="8.5703125" style="524" customWidth="1"/>
    <col min="15369" max="15369" width="8.28515625" style="524" customWidth="1"/>
    <col min="15370" max="15370" width="8.140625" style="524" customWidth="1"/>
    <col min="15371" max="15371" width="6.42578125" style="524" customWidth="1"/>
    <col min="15372" max="15372" width="8.5703125" style="524" customWidth="1"/>
    <col min="15373" max="15373" width="9.140625" style="524" customWidth="1"/>
    <col min="15374" max="15374" width="7.85546875" style="524" customWidth="1"/>
    <col min="15375" max="15375" width="6.42578125" style="524" customWidth="1"/>
    <col min="15376" max="15376" width="8.140625" style="524" customWidth="1"/>
    <col min="15377" max="15377" width="8.85546875" style="524" customWidth="1"/>
    <col min="15378" max="15378" width="14" style="524" customWidth="1"/>
    <col min="15379" max="15379" width="6.85546875" style="524" customWidth="1"/>
    <col min="15380" max="15380" width="8" style="524" customWidth="1"/>
    <col min="15381" max="15381" width="23.42578125" style="524" customWidth="1"/>
    <col min="15382" max="15382" width="6.140625" style="524" customWidth="1"/>
    <col min="15383" max="15384" width="8.140625" style="524" customWidth="1"/>
    <col min="15385" max="15616" width="9.140625" style="524"/>
    <col min="15617" max="15617" width="3.42578125" style="524" customWidth="1"/>
    <col min="15618" max="15618" width="3.85546875" style="524" customWidth="1"/>
    <col min="15619" max="15619" width="3.42578125" style="524" customWidth="1"/>
    <col min="15620" max="15620" width="18.42578125" style="524" customWidth="1"/>
    <col min="15621" max="15621" width="9.85546875" style="524" customWidth="1"/>
    <col min="15622" max="15622" width="6" style="524" customWidth="1"/>
    <col min="15623" max="15623" width="7.85546875" style="524" customWidth="1"/>
    <col min="15624" max="15624" width="8.5703125" style="524" customWidth="1"/>
    <col min="15625" max="15625" width="8.28515625" style="524" customWidth="1"/>
    <col min="15626" max="15626" width="8.140625" style="524" customWidth="1"/>
    <col min="15627" max="15627" width="6.42578125" style="524" customWidth="1"/>
    <col min="15628" max="15628" width="8.5703125" style="524" customWidth="1"/>
    <col min="15629" max="15629" width="9.140625" style="524" customWidth="1"/>
    <col min="15630" max="15630" width="7.85546875" style="524" customWidth="1"/>
    <col min="15631" max="15631" width="6.42578125" style="524" customWidth="1"/>
    <col min="15632" max="15632" width="8.140625" style="524" customWidth="1"/>
    <col min="15633" max="15633" width="8.85546875" style="524" customWidth="1"/>
    <col min="15634" max="15634" width="14" style="524" customWidth="1"/>
    <col min="15635" max="15635" width="6.85546875" style="524" customWidth="1"/>
    <col min="15636" max="15636" width="8" style="524" customWidth="1"/>
    <col min="15637" max="15637" width="23.42578125" style="524" customWidth="1"/>
    <col min="15638" max="15638" width="6.140625" style="524" customWidth="1"/>
    <col min="15639" max="15640" width="8.140625" style="524" customWidth="1"/>
    <col min="15641" max="15872" width="9.140625" style="524"/>
    <col min="15873" max="15873" width="3.42578125" style="524" customWidth="1"/>
    <col min="15874" max="15874" width="3.85546875" style="524" customWidth="1"/>
    <col min="15875" max="15875" width="3.42578125" style="524" customWidth="1"/>
    <col min="15876" max="15876" width="18.42578125" style="524" customWidth="1"/>
    <col min="15877" max="15877" width="9.85546875" style="524" customWidth="1"/>
    <col min="15878" max="15878" width="6" style="524" customWidth="1"/>
    <col min="15879" max="15879" width="7.85546875" style="524" customWidth="1"/>
    <col min="15880" max="15880" width="8.5703125" style="524" customWidth="1"/>
    <col min="15881" max="15881" width="8.28515625" style="524" customWidth="1"/>
    <col min="15882" max="15882" width="8.140625" style="524" customWidth="1"/>
    <col min="15883" max="15883" width="6.42578125" style="524" customWidth="1"/>
    <col min="15884" max="15884" width="8.5703125" style="524" customWidth="1"/>
    <col min="15885" max="15885" width="9.140625" style="524" customWidth="1"/>
    <col min="15886" max="15886" width="7.85546875" style="524" customWidth="1"/>
    <col min="15887" max="15887" width="6.42578125" style="524" customWidth="1"/>
    <col min="15888" max="15888" width="8.140625" style="524" customWidth="1"/>
    <col min="15889" max="15889" width="8.85546875" style="524" customWidth="1"/>
    <col min="15890" max="15890" width="14" style="524" customWidth="1"/>
    <col min="15891" max="15891" width="6.85546875" style="524" customWidth="1"/>
    <col min="15892" max="15892" width="8" style="524" customWidth="1"/>
    <col min="15893" max="15893" width="23.42578125" style="524" customWidth="1"/>
    <col min="15894" max="15894" width="6.140625" style="524" customWidth="1"/>
    <col min="15895" max="15896" width="8.140625" style="524" customWidth="1"/>
    <col min="15897" max="16128" width="9.140625" style="524"/>
    <col min="16129" max="16129" width="3.42578125" style="524" customWidth="1"/>
    <col min="16130" max="16130" width="3.85546875" style="524" customWidth="1"/>
    <col min="16131" max="16131" width="3.42578125" style="524" customWidth="1"/>
    <col min="16132" max="16132" width="18.42578125" style="524" customWidth="1"/>
    <col min="16133" max="16133" width="9.85546875" style="524" customWidth="1"/>
    <col min="16134" max="16134" width="6" style="524" customWidth="1"/>
    <col min="16135" max="16135" width="7.85546875" style="524" customWidth="1"/>
    <col min="16136" max="16136" width="8.5703125" style="524" customWidth="1"/>
    <col min="16137" max="16137" width="8.28515625" style="524" customWidth="1"/>
    <col min="16138" max="16138" width="8.140625" style="524" customWidth="1"/>
    <col min="16139" max="16139" width="6.42578125" style="524" customWidth="1"/>
    <col min="16140" max="16140" width="8.5703125" style="524" customWidth="1"/>
    <col min="16141" max="16141" width="9.140625" style="524" customWidth="1"/>
    <col min="16142" max="16142" width="7.85546875" style="524" customWidth="1"/>
    <col min="16143" max="16143" width="6.42578125" style="524" customWidth="1"/>
    <col min="16144" max="16144" width="8.140625" style="524" customWidth="1"/>
    <col min="16145" max="16145" width="8.85546875" style="524" customWidth="1"/>
    <col min="16146" max="16146" width="14" style="524" customWidth="1"/>
    <col min="16147" max="16147" width="6.85546875" style="524" customWidth="1"/>
    <col min="16148" max="16148" width="8" style="524" customWidth="1"/>
    <col min="16149" max="16149" width="23.42578125" style="524" customWidth="1"/>
    <col min="16150" max="16150" width="6.140625" style="524" customWidth="1"/>
    <col min="16151" max="16152" width="8.140625" style="524" customWidth="1"/>
    <col min="16153" max="16384" width="9.140625" style="524"/>
  </cols>
  <sheetData>
    <row r="1" spans="1:22" ht="36.75" customHeight="1" x14ac:dyDescent="0.2">
      <c r="Q1" s="525"/>
      <c r="R1" s="1305"/>
      <c r="S1" s="1305"/>
      <c r="T1" s="1305"/>
    </row>
    <row r="2" spans="1:22" ht="12.75" customHeight="1" x14ac:dyDescent="0.2">
      <c r="A2" s="1306"/>
      <c r="B2" s="1306"/>
      <c r="C2" s="1306"/>
      <c r="D2" s="1306"/>
      <c r="E2" s="1306"/>
      <c r="F2" s="1306"/>
      <c r="G2" s="1306"/>
      <c r="H2" s="1306"/>
      <c r="I2" s="1306"/>
      <c r="J2" s="1306"/>
      <c r="K2" s="1306"/>
      <c r="L2" s="1306"/>
      <c r="M2" s="1306"/>
      <c r="N2" s="1306"/>
      <c r="O2" s="1306"/>
      <c r="P2" s="1306"/>
      <c r="Q2" s="1306"/>
      <c r="R2" s="1306"/>
      <c r="S2" s="1306"/>
      <c r="T2" s="1306"/>
    </row>
    <row r="3" spans="1:22" ht="12.75" customHeight="1" x14ac:dyDescent="0.2">
      <c r="A3" s="1259"/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259"/>
      <c r="R3" s="1259"/>
      <c r="S3" s="1259"/>
      <c r="T3" s="1259"/>
    </row>
    <row r="4" spans="1:22" s="526" customFormat="1" ht="12" x14ac:dyDescent="0.2">
      <c r="A4" s="1581" t="s">
        <v>368</v>
      </c>
      <c r="B4" s="1581"/>
      <c r="C4" s="1581"/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</row>
    <row r="5" spans="1:22" s="526" customFormat="1" ht="12" x14ac:dyDescent="0.2">
      <c r="A5" s="1307" t="s">
        <v>369</v>
      </c>
      <c r="B5" s="1307"/>
      <c r="C5" s="1307"/>
      <c r="D5" s="1307"/>
      <c r="E5" s="1307"/>
      <c r="F5" s="1307"/>
      <c r="G5" s="1307"/>
      <c r="H5" s="1307"/>
      <c r="I5" s="1307"/>
      <c r="J5" s="1307"/>
      <c r="K5" s="1307"/>
      <c r="L5" s="1307"/>
      <c r="M5" s="1307"/>
      <c r="N5" s="1307"/>
      <c r="O5" s="1307"/>
      <c r="P5" s="1307"/>
      <c r="Q5" s="1307"/>
      <c r="R5" s="1307"/>
      <c r="S5" s="1307"/>
      <c r="T5" s="1307"/>
    </row>
    <row r="6" spans="1:22" ht="11.25" customHeight="1" thickBot="1" x14ac:dyDescent="0.25">
      <c r="A6" s="1310"/>
      <c r="B6" s="1310"/>
      <c r="C6" s="1310"/>
      <c r="D6" s="1310"/>
      <c r="E6" s="1310"/>
      <c r="F6" s="1310"/>
      <c r="G6" s="1310"/>
      <c r="H6" s="1310"/>
      <c r="I6" s="1310"/>
      <c r="J6" s="1310"/>
      <c r="K6" s="1310"/>
      <c r="L6" s="1310"/>
      <c r="M6" s="1310"/>
      <c r="N6" s="1310"/>
      <c r="O6" s="1310"/>
      <c r="P6" s="1310"/>
      <c r="Q6" s="1310"/>
      <c r="R6" s="1310"/>
      <c r="S6" s="1310"/>
      <c r="T6" s="1310"/>
      <c r="U6" s="233" t="s">
        <v>144</v>
      </c>
    </row>
    <row r="7" spans="1:22" ht="13.5" customHeight="1" x14ac:dyDescent="0.2">
      <c r="A7" s="1974"/>
      <c r="B7" s="1975"/>
      <c r="C7" s="1975"/>
      <c r="D7" s="1975"/>
      <c r="E7" s="1975"/>
      <c r="F7" s="1975"/>
      <c r="G7" s="1975"/>
      <c r="H7" s="1975"/>
      <c r="I7" s="1975"/>
      <c r="J7" s="1975"/>
      <c r="K7" s="1975"/>
      <c r="L7" s="1975"/>
      <c r="M7" s="1975"/>
      <c r="N7" s="1975"/>
      <c r="O7" s="1975"/>
      <c r="P7" s="1975"/>
      <c r="Q7" s="1975"/>
      <c r="R7" s="1975"/>
      <c r="S7" s="1975"/>
      <c r="T7" s="1975"/>
      <c r="U7" s="1976" t="s">
        <v>370</v>
      </c>
    </row>
    <row r="8" spans="1:22" ht="19.5" customHeight="1" x14ac:dyDescent="0.2">
      <c r="A8" s="1809" t="s">
        <v>0</v>
      </c>
      <c r="B8" s="1815" t="s">
        <v>1</v>
      </c>
      <c r="C8" s="1815" t="s">
        <v>2</v>
      </c>
      <c r="D8" s="1981" t="s">
        <v>3</v>
      </c>
      <c r="E8" s="1815" t="s">
        <v>4</v>
      </c>
      <c r="F8" s="1815" t="s">
        <v>5</v>
      </c>
      <c r="G8" s="1803" t="s">
        <v>6</v>
      </c>
      <c r="H8" s="1984" t="s">
        <v>193</v>
      </c>
      <c r="I8" s="1985"/>
      <c r="J8" s="1985"/>
      <c r="K8" s="1986"/>
      <c r="L8" s="1984" t="s">
        <v>200</v>
      </c>
      <c r="M8" s="1985"/>
      <c r="N8" s="1985"/>
      <c r="O8" s="1986"/>
      <c r="P8" s="1987" t="s">
        <v>173</v>
      </c>
      <c r="Q8" s="1320" t="s">
        <v>371</v>
      </c>
      <c r="R8" s="1990" t="s">
        <v>7</v>
      </c>
      <c r="S8" s="1981"/>
      <c r="T8" s="1981"/>
      <c r="U8" s="1977"/>
    </row>
    <row r="9" spans="1:22" ht="12.75" customHeight="1" x14ac:dyDescent="0.2">
      <c r="A9" s="1809"/>
      <c r="B9" s="1815"/>
      <c r="C9" s="1815"/>
      <c r="D9" s="1981"/>
      <c r="E9" s="1815"/>
      <c r="F9" s="1815"/>
      <c r="G9" s="1803"/>
      <c r="H9" s="1809" t="s">
        <v>8</v>
      </c>
      <c r="I9" s="1795" t="s">
        <v>9</v>
      </c>
      <c r="J9" s="1795"/>
      <c r="K9" s="1811" t="s">
        <v>10</v>
      </c>
      <c r="L9" s="1809" t="s">
        <v>8</v>
      </c>
      <c r="M9" s="1795" t="s">
        <v>9</v>
      </c>
      <c r="N9" s="1795"/>
      <c r="O9" s="1811" t="s">
        <v>10</v>
      </c>
      <c r="P9" s="1987"/>
      <c r="Q9" s="1320"/>
      <c r="R9" s="1963" t="s">
        <v>24</v>
      </c>
      <c r="S9" s="228" t="s">
        <v>11</v>
      </c>
      <c r="T9" s="527" t="s">
        <v>194</v>
      </c>
      <c r="U9" s="1977"/>
    </row>
    <row r="10" spans="1:22" ht="95.25" customHeight="1" thickBot="1" x14ac:dyDescent="0.25">
      <c r="A10" s="1979"/>
      <c r="B10" s="1980"/>
      <c r="C10" s="1980"/>
      <c r="D10" s="1982"/>
      <c r="E10" s="1980"/>
      <c r="F10" s="1980"/>
      <c r="G10" s="1983"/>
      <c r="H10" s="1979"/>
      <c r="I10" s="528" t="s">
        <v>8</v>
      </c>
      <c r="J10" s="529" t="s">
        <v>12</v>
      </c>
      <c r="K10" s="1962"/>
      <c r="L10" s="1979"/>
      <c r="M10" s="528" t="s">
        <v>8</v>
      </c>
      <c r="N10" s="529" t="s">
        <v>12</v>
      </c>
      <c r="O10" s="1962"/>
      <c r="P10" s="1988"/>
      <c r="Q10" s="1989"/>
      <c r="R10" s="1964"/>
      <c r="S10" s="530" t="s">
        <v>195</v>
      </c>
      <c r="T10" s="531" t="s">
        <v>195</v>
      </c>
      <c r="U10" s="1978"/>
    </row>
    <row r="11" spans="1:22" ht="16.5" customHeight="1" thickBot="1" x14ac:dyDescent="0.25">
      <c r="A11" s="1965" t="s">
        <v>372</v>
      </c>
      <c r="B11" s="1966"/>
      <c r="C11" s="1966"/>
      <c r="D11" s="1966"/>
      <c r="E11" s="1966"/>
      <c r="F11" s="1966"/>
      <c r="G11" s="1966"/>
      <c r="H11" s="1966"/>
      <c r="I11" s="1966"/>
      <c r="J11" s="1966"/>
      <c r="K11" s="1966"/>
      <c r="L11" s="1966"/>
      <c r="M11" s="1966"/>
      <c r="N11" s="1966"/>
      <c r="O11" s="1966"/>
      <c r="P11" s="1966"/>
      <c r="Q11" s="1966"/>
      <c r="R11" s="1966"/>
      <c r="S11" s="1966"/>
      <c r="T11" s="1966"/>
      <c r="U11" s="1967"/>
    </row>
    <row r="12" spans="1:22" ht="16.5" customHeight="1" thickBot="1" x14ac:dyDescent="0.25">
      <c r="A12" s="1348" t="s">
        <v>373</v>
      </c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50"/>
    </row>
    <row r="13" spans="1:22" ht="15.75" customHeight="1" thickBot="1" x14ac:dyDescent="0.25">
      <c r="A13" s="532" t="s">
        <v>17</v>
      </c>
      <c r="B13" s="1968" t="s">
        <v>374</v>
      </c>
      <c r="C13" s="1969"/>
      <c r="D13" s="1969"/>
      <c r="E13" s="1969"/>
      <c r="F13" s="1969"/>
      <c r="G13" s="1969"/>
      <c r="H13" s="1969"/>
      <c r="I13" s="1969"/>
      <c r="J13" s="1969"/>
      <c r="K13" s="1969"/>
      <c r="L13" s="1969"/>
      <c r="M13" s="1969"/>
      <c r="N13" s="1969"/>
      <c r="O13" s="1969"/>
      <c r="P13" s="1969"/>
      <c r="Q13" s="1969"/>
      <c r="R13" s="1969"/>
      <c r="S13" s="1969"/>
      <c r="T13" s="1969"/>
      <c r="U13" s="1970"/>
    </row>
    <row r="14" spans="1:22" ht="16.5" customHeight="1" thickBot="1" x14ac:dyDescent="0.25">
      <c r="A14" s="533" t="s">
        <v>17</v>
      </c>
      <c r="B14" s="534" t="s">
        <v>17</v>
      </c>
      <c r="C14" s="1971" t="s">
        <v>375</v>
      </c>
      <c r="D14" s="1858"/>
      <c r="E14" s="1858"/>
      <c r="F14" s="1858"/>
      <c r="G14" s="1858"/>
      <c r="H14" s="1858"/>
      <c r="I14" s="1858"/>
      <c r="J14" s="1858"/>
      <c r="K14" s="1858"/>
      <c r="L14" s="1858"/>
      <c r="M14" s="1858"/>
      <c r="N14" s="1858"/>
      <c r="O14" s="1858"/>
      <c r="P14" s="1858"/>
      <c r="Q14" s="1858"/>
      <c r="R14" s="1858"/>
      <c r="S14" s="1858"/>
      <c r="T14" s="1858"/>
      <c r="U14" s="1859"/>
    </row>
    <row r="15" spans="1:22" ht="18.75" customHeight="1" x14ac:dyDescent="0.2">
      <c r="A15" s="1951" t="s">
        <v>17</v>
      </c>
      <c r="B15" s="1141" t="s">
        <v>17</v>
      </c>
      <c r="C15" s="1142" t="s">
        <v>17</v>
      </c>
      <c r="D15" s="1301" t="s">
        <v>376</v>
      </c>
      <c r="E15" s="1861" t="s">
        <v>377</v>
      </c>
      <c r="F15" s="1861" t="s">
        <v>378</v>
      </c>
      <c r="G15" s="275" t="s">
        <v>73</v>
      </c>
      <c r="H15" s="336">
        <v>3407.8</v>
      </c>
      <c r="I15" s="338">
        <v>3406.8</v>
      </c>
      <c r="J15" s="338">
        <v>66.8</v>
      </c>
      <c r="K15" s="311">
        <v>1</v>
      </c>
      <c r="L15" s="336">
        <v>3397.8</v>
      </c>
      <c r="M15" s="338">
        <v>3396.8</v>
      </c>
      <c r="N15" s="338">
        <v>65.2</v>
      </c>
      <c r="O15" s="337">
        <v>1</v>
      </c>
      <c r="P15" s="535">
        <v>3206.2</v>
      </c>
      <c r="Q15" s="535">
        <v>3400</v>
      </c>
      <c r="R15" s="1972" t="s">
        <v>379</v>
      </c>
      <c r="S15" s="336">
        <v>1870</v>
      </c>
      <c r="T15" s="337">
        <v>1883</v>
      </c>
      <c r="U15" s="536" t="s">
        <v>380</v>
      </c>
      <c r="V15" s="537"/>
    </row>
    <row r="16" spans="1:22" ht="13.5" customHeight="1" thickBot="1" x14ac:dyDescent="0.25">
      <c r="A16" s="1950"/>
      <c r="B16" s="1125"/>
      <c r="C16" s="1127"/>
      <c r="D16" s="1302"/>
      <c r="E16" s="1862"/>
      <c r="F16" s="1862"/>
      <c r="G16" s="279" t="s">
        <v>13</v>
      </c>
      <c r="H16" s="287">
        <f>SUM(H15)</f>
        <v>3407.8</v>
      </c>
      <c r="I16" s="538">
        <f t="shared" ref="I16:Q16" si="0">SUM(I15)</f>
        <v>3406.8</v>
      </c>
      <c r="J16" s="538">
        <f t="shared" si="0"/>
        <v>66.8</v>
      </c>
      <c r="K16" s="539">
        <f t="shared" si="0"/>
        <v>1</v>
      </c>
      <c r="L16" s="540">
        <f t="shared" si="0"/>
        <v>3397.8</v>
      </c>
      <c r="M16" s="538">
        <f t="shared" si="0"/>
        <v>3396.8</v>
      </c>
      <c r="N16" s="538">
        <f t="shared" si="0"/>
        <v>65.2</v>
      </c>
      <c r="O16" s="541">
        <f t="shared" si="0"/>
        <v>1</v>
      </c>
      <c r="P16" s="542">
        <f t="shared" si="0"/>
        <v>3206.2</v>
      </c>
      <c r="Q16" s="542">
        <f t="shared" si="0"/>
        <v>3400</v>
      </c>
      <c r="R16" s="1973"/>
      <c r="S16" s="540">
        <f>SUM(S15:S15)</f>
        <v>1870</v>
      </c>
      <c r="T16" s="541">
        <f>SUM(T15:T15)</f>
        <v>1883</v>
      </c>
      <c r="U16" s="543"/>
      <c r="V16" s="537"/>
    </row>
    <row r="17" spans="1:24" ht="30" customHeight="1" x14ac:dyDescent="0.2">
      <c r="A17" s="1950" t="s">
        <v>17</v>
      </c>
      <c r="B17" s="1125" t="s">
        <v>17</v>
      </c>
      <c r="C17" s="1127" t="s">
        <v>18</v>
      </c>
      <c r="D17" s="1302" t="s">
        <v>381</v>
      </c>
      <c r="E17" s="1862" t="s">
        <v>382</v>
      </c>
      <c r="F17" s="1862" t="s">
        <v>378</v>
      </c>
      <c r="G17" s="544" t="s">
        <v>73</v>
      </c>
      <c r="H17" s="325">
        <v>7.9</v>
      </c>
      <c r="I17" s="326">
        <v>7.9</v>
      </c>
      <c r="J17" s="326">
        <v>0</v>
      </c>
      <c r="K17" s="393">
        <v>0</v>
      </c>
      <c r="L17" s="325">
        <v>6.7</v>
      </c>
      <c r="M17" s="326">
        <v>6.7</v>
      </c>
      <c r="N17" s="326">
        <v>0</v>
      </c>
      <c r="O17" s="291">
        <v>0</v>
      </c>
      <c r="P17" s="391">
        <v>8.9</v>
      </c>
      <c r="Q17" s="391">
        <v>11</v>
      </c>
      <c r="R17" s="1961" t="s">
        <v>383</v>
      </c>
      <c r="S17" s="325">
        <v>52</v>
      </c>
      <c r="T17" s="291">
        <v>48</v>
      </c>
      <c r="U17" s="545" t="s">
        <v>384</v>
      </c>
      <c r="V17" s="537"/>
    </row>
    <row r="18" spans="1:24" ht="25.5" customHeight="1" x14ac:dyDescent="0.2">
      <c r="A18" s="1950"/>
      <c r="B18" s="1125"/>
      <c r="C18" s="1127"/>
      <c r="D18" s="1302"/>
      <c r="E18" s="1862"/>
      <c r="F18" s="1862"/>
      <c r="G18" s="279" t="s">
        <v>13</v>
      </c>
      <c r="H18" s="287">
        <f t="shared" ref="H18:Q18" si="1">SUM(H17:H17)</f>
        <v>7.9</v>
      </c>
      <c r="I18" s="538">
        <f t="shared" si="1"/>
        <v>7.9</v>
      </c>
      <c r="J18" s="538">
        <f t="shared" si="1"/>
        <v>0</v>
      </c>
      <c r="K18" s="539">
        <f t="shared" si="1"/>
        <v>0</v>
      </c>
      <c r="L18" s="540">
        <f t="shared" si="1"/>
        <v>6.7</v>
      </c>
      <c r="M18" s="538">
        <f t="shared" si="1"/>
        <v>6.7</v>
      </c>
      <c r="N18" s="538">
        <f t="shared" si="1"/>
        <v>0</v>
      </c>
      <c r="O18" s="541">
        <f t="shared" si="1"/>
        <v>0</v>
      </c>
      <c r="P18" s="542">
        <f t="shared" si="1"/>
        <v>8.9</v>
      </c>
      <c r="Q18" s="542">
        <f t="shared" si="1"/>
        <v>11</v>
      </c>
      <c r="R18" s="1888"/>
      <c r="S18" s="540">
        <f>SUM(S17:S17)</f>
        <v>52</v>
      </c>
      <c r="T18" s="541">
        <f>SUM(T17:T17)</f>
        <v>48</v>
      </c>
      <c r="U18" s="543"/>
      <c r="V18" s="537"/>
    </row>
    <row r="19" spans="1:24" ht="25.5" customHeight="1" x14ac:dyDescent="0.2">
      <c r="A19" s="1950" t="s">
        <v>17</v>
      </c>
      <c r="B19" s="1125" t="s">
        <v>17</v>
      </c>
      <c r="C19" s="1127" t="s">
        <v>19</v>
      </c>
      <c r="D19" s="1302" t="s">
        <v>385</v>
      </c>
      <c r="E19" s="1862" t="s">
        <v>386</v>
      </c>
      <c r="F19" s="1862" t="s">
        <v>378</v>
      </c>
      <c r="G19" s="544" t="s">
        <v>73</v>
      </c>
      <c r="H19" s="325"/>
      <c r="I19" s="326"/>
      <c r="J19" s="326">
        <v>0</v>
      </c>
      <c r="K19" s="393">
        <v>0</v>
      </c>
      <c r="L19" s="325"/>
      <c r="M19" s="326"/>
      <c r="N19" s="326">
        <v>0</v>
      </c>
      <c r="O19" s="291">
        <v>0</v>
      </c>
      <c r="P19" s="391">
        <v>4</v>
      </c>
      <c r="Q19" s="391">
        <v>5</v>
      </c>
      <c r="R19" s="1888" t="s">
        <v>387</v>
      </c>
      <c r="S19" s="325">
        <v>0</v>
      </c>
      <c r="T19" s="291">
        <v>0</v>
      </c>
      <c r="U19" s="545" t="s">
        <v>388</v>
      </c>
      <c r="V19" s="537"/>
    </row>
    <row r="20" spans="1:24" ht="21.75" customHeight="1" x14ac:dyDescent="0.2">
      <c r="A20" s="1950"/>
      <c r="B20" s="1125"/>
      <c r="C20" s="1127"/>
      <c r="D20" s="1302"/>
      <c r="E20" s="1862"/>
      <c r="F20" s="1862"/>
      <c r="G20" s="279" t="s">
        <v>13</v>
      </c>
      <c r="H20" s="287">
        <f>SUM(H19:H19)</f>
        <v>0</v>
      </c>
      <c r="I20" s="538">
        <f t="shared" ref="I20:Q20" si="2">SUM(I19:I19)</f>
        <v>0</v>
      </c>
      <c r="J20" s="538">
        <f t="shared" si="2"/>
        <v>0</v>
      </c>
      <c r="K20" s="539">
        <f t="shared" si="2"/>
        <v>0</v>
      </c>
      <c r="L20" s="540">
        <f t="shared" si="2"/>
        <v>0</v>
      </c>
      <c r="M20" s="538">
        <f t="shared" si="2"/>
        <v>0</v>
      </c>
      <c r="N20" s="538">
        <f t="shared" si="2"/>
        <v>0</v>
      </c>
      <c r="O20" s="541">
        <f t="shared" si="2"/>
        <v>0</v>
      </c>
      <c r="P20" s="542">
        <f t="shared" si="2"/>
        <v>4</v>
      </c>
      <c r="Q20" s="542">
        <f t="shared" si="2"/>
        <v>5</v>
      </c>
      <c r="R20" s="1888"/>
      <c r="S20" s="540">
        <f>SUM(S19:S19)</f>
        <v>0</v>
      </c>
      <c r="T20" s="541">
        <f>SUM(T19:T19)</f>
        <v>0</v>
      </c>
      <c r="U20" s="543"/>
      <c r="V20" s="537"/>
    </row>
    <row r="21" spans="1:24" ht="25.5" customHeight="1" x14ac:dyDescent="0.2">
      <c r="A21" s="1950" t="s">
        <v>17</v>
      </c>
      <c r="B21" s="1125" t="s">
        <v>17</v>
      </c>
      <c r="C21" s="1127" t="s">
        <v>20</v>
      </c>
      <c r="D21" s="1302" t="s">
        <v>389</v>
      </c>
      <c r="E21" s="1862" t="s">
        <v>390</v>
      </c>
      <c r="F21" s="1862" t="s">
        <v>378</v>
      </c>
      <c r="G21" s="544" t="s">
        <v>73</v>
      </c>
      <c r="H21" s="325">
        <v>934.9</v>
      </c>
      <c r="I21" s="326">
        <v>934.9</v>
      </c>
      <c r="J21" s="326">
        <v>21.9</v>
      </c>
      <c r="K21" s="393">
        <v>0</v>
      </c>
      <c r="L21" s="325">
        <v>877.7</v>
      </c>
      <c r="M21" s="326">
        <v>877.7</v>
      </c>
      <c r="N21" s="326">
        <v>19.899999999999999</v>
      </c>
      <c r="O21" s="291">
        <v>0</v>
      </c>
      <c r="P21" s="391">
        <v>747.8</v>
      </c>
      <c r="Q21" s="391">
        <v>740</v>
      </c>
      <c r="R21" s="1888" t="s">
        <v>391</v>
      </c>
      <c r="S21" s="325">
        <v>1900</v>
      </c>
      <c r="T21" s="291">
        <v>1982</v>
      </c>
      <c r="U21" s="546" t="s">
        <v>392</v>
      </c>
      <c r="V21" s="537"/>
    </row>
    <row r="22" spans="1:24" ht="15.75" customHeight="1" x14ac:dyDescent="0.2">
      <c r="A22" s="1950"/>
      <c r="B22" s="1125"/>
      <c r="C22" s="1127"/>
      <c r="D22" s="1302"/>
      <c r="E22" s="1862"/>
      <c r="F22" s="1862"/>
      <c r="G22" s="279" t="s">
        <v>13</v>
      </c>
      <c r="H22" s="287">
        <f t="shared" ref="H22:Q22" si="3">SUM(H21:H21)</f>
        <v>934.9</v>
      </c>
      <c r="I22" s="538">
        <f t="shared" si="3"/>
        <v>934.9</v>
      </c>
      <c r="J22" s="538">
        <f t="shared" si="3"/>
        <v>21.9</v>
      </c>
      <c r="K22" s="539">
        <f t="shared" si="3"/>
        <v>0</v>
      </c>
      <c r="L22" s="540">
        <f t="shared" si="3"/>
        <v>877.7</v>
      </c>
      <c r="M22" s="538">
        <f t="shared" si="3"/>
        <v>877.7</v>
      </c>
      <c r="N22" s="538">
        <f t="shared" si="3"/>
        <v>19.899999999999999</v>
      </c>
      <c r="O22" s="541">
        <f t="shared" si="3"/>
        <v>0</v>
      </c>
      <c r="P22" s="542">
        <f t="shared" si="3"/>
        <v>747.8</v>
      </c>
      <c r="Q22" s="542">
        <f t="shared" si="3"/>
        <v>740</v>
      </c>
      <c r="R22" s="1888"/>
      <c r="S22" s="540">
        <f>SUM(S21:S21)</f>
        <v>1900</v>
      </c>
      <c r="T22" s="541">
        <f>SUM(T21:T21)</f>
        <v>1982</v>
      </c>
      <c r="U22" s="543"/>
      <c r="V22" s="537"/>
    </row>
    <row r="23" spans="1:24" ht="26.25" customHeight="1" x14ac:dyDescent="0.2">
      <c r="A23" s="1950" t="s">
        <v>17</v>
      </c>
      <c r="B23" s="1125" t="s">
        <v>17</v>
      </c>
      <c r="C23" s="1127" t="s">
        <v>21</v>
      </c>
      <c r="D23" s="1302" t="s">
        <v>393</v>
      </c>
      <c r="E23" s="1848" t="s">
        <v>394</v>
      </c>
      <c r="F23" s="1862" t="s">
        <v>395</v>
      </c>
      <c r="G23" s="544" t="s">
        <v>224</v>
      </c>
      <c r="H23" s="325">
        <v>838.6</v>
      </c>
      <c r="I23" s="326">
        <v>838.6</v>
      </c>
      <c r="J23" s="326">
        <v>0</v>
      </c>
      <c r="K23" s="393">
        <v>0</v>
      </c>
      <c r="L23" s="325">
        <v>837.6</v>
      </c>
      <c r="M23" s="326">
        <v>837.6</v>
      </c>
      <c r="N23" s="326">
        <v>0</v>
      </c>
      <c r="O23" s="291">
        <v>0</v>
      </c>
      <c r="P23" s="391">
        <v>1096</v>
      </c>
      <c r="Q23" s="391">
        <v>1201</v>
      </c>
      <c r="R23" s="1914" t="s">
        <v>396</v>
      </c>
      <c r="S23" s="498">
        <v>1980</v>
      </c>
      <c r="T23" s="547">
        <v>1780</v>
      </c>
      <c r="U23" s="548" t="s">
        <v>397</v>
      </c>
      <c r="W23" s="549"/>
      <c r="X23" s="549"/>
    </row>
    <row r="24" spans="1:24" ht="24.75" customHeight="1" x14ac:dyDescent="0.2">
      <c r="A24" s="1950"/>
      <c r="B24" s="1125"/>
      <c r="C24" s="1127"/>
      <c r="D24" s="1302"/>
      <c r="E24" s="1848"/>
      <c r="F24" s="1862"/>
      <c r="G24" s="550" t="s">
        <v>13</v>
      </c>
      <c r="H24" s="551">
        <f t="shared" ref="H24:Q24" si="4">SUM(H23:H23)</f>
        <v>838.6</v>
      </c>
      <c r="I24" s="552">
        <f t="shared" si="4"/>
        <v>838.6</v>
      </c>
      <c r="J24" s="552">
        <f t="shared" si="4"/>
        <v>0</v>
      </c>
      <c r="K24" s="553">
        <f t="shared" si="4"/>
        <v>0</v>
      </c>
      <c r="L24" s="551">
        <f t="shared" si="4"/>
        <v>837.6</v>
      </c>
      <c r="M24" s="552">
        <f t="shared" si="4"/>
        <v>837.6</v>
      </c>
      <c r="N24" s="552">
        <f t="shared" si="4"/>
        <v>0</v>
      </c>
      <c r="O24" s="554">
        <f t="shared" si="4"/>
        <v>0</v>
      </c>
      <c r="P24" s="555">
        <f t="shared" si="4"/>
        <v>1096</v>
      </c>
      <c r="Q24" s="555">
        <f t="shared" si="4"/>
        <v>1201</v>
      </c>
      <c r="R24" s="1914"/>
      <c r="S24" s="287">
        <f>SUM(S23:S23)</f>
        <v>1980</v>
      </c>
      <c r="T24" s="313">
        <f>SUM(T23:T23)</f>
        <v>1780</v>
      </c>
      <c r="U24" s="289"/>
    </row>
    <row r="25" spans="1:24" ht="22.5" hidden="1" customHeight="1" outlineLevel="1" x14ac:dyDescent="0.2">
      <c r="A25" s="1950" t="s">
        <v>17</v>
      </c>
      <c r="B25" s="1125" t="s">
        <v>17</v>
      </c>
      <c r="C25" s="1127" t="s">
        <v>398</v>
      </c>
      <c r="D25" s="1302" t="s">
        <v>393</v>
      </c>
      <c r="E25" s="1848" t="s">
        <v>394</v>
      </c>
      <c r="F25" s="1862" t="s">
        <v>378</v>
      </c>
      <c r="G25" s="544" t="s">
        <v>224</v>
      </c>
      <c r="H25" s="325">
        <v>1556103</v>
      </c>
      <c r="I25" s="326">
        <v>1556103</v>
      </c>
      <c r="J25" s="326">
        <v>39703</v>
      </c>
      <c r="K25" s="556"/>
      <c r="L25" s="325">
        <v>1533458</v>
      </c>
      <c r="M25" s="326">
        <v>1533458</v>
      </c>
      <c r="N25" s="326"/>
      <c r="O25" s="291"/>
      <c r="P25" s="391">
        <v>1400500</v>
      </c>
      <c r="Q25" s="391">
        <v>1390600</v>
      </c>
      <c r="R25" s="1914" t="s">
        <v>396</v>
      </c>
      <c r="S25" s="498">
        <v>2040</v>
      </c>
      <c r="T25" s="499">
        <v>1980</v>
      </c>
      <c r="U25" s="557">
        <f>H25+K25</f>
        <v>1556103</v>
      </c>
    </row>
    <row r="26" spans="1:24" ht="16.5" hidden="1" customHeight="1" outlineLevel="1" x14ac:dyDescent="0.2">
      <c r="A26" s="1950"/>
      <c r="B26" s="1125"/>
      <c r="C26" s="1127"/>
      <c r="D26" s="1302"/>
      <c r="E26" s="1848"/>
      <c r="F26" s="1862"/>
      <c r="G26" s="333" t="s">
        <v>13</v>
      </c>
      <c r="H26" s="558">
        <f t="shared" ref="H26:Q26" si="5">SUM(H25:H25)</f>
        <v>1556103</v>
      </c>
      <c r="I26" s="559">
        <f t="shared" si="5"/>
        <v>1556103</v>
      </c>
      <c r="J26" s="559">
        <f t="shared" si="5"/>
        <v>39703</v>
      </c>
      <c r="K26" s="560">
        <f t="shared" si="5"/>
        <v>0</v>
      </c>
      <c r="L26" s="558">
        <f t="shared" si="5"/>
        <v>1533458</v>
      </c>
      <c r="M26" s="559">
        <f t="shared" si="5"/>
        <v>1533458</v>
      </c>
      <c r="N26" s="559">
        <f t="shared" si="5"/>
        <v>0</v>
      </c>
      <c r="O26" s="561">
        <f t="shared" si="5"/>
        <v>0</v>
      </c>
      <c r="P26" s="562">
        <f t="shared" si="5"/>
        <v>1400500</v>
      </c>
      <c r="Q26" s="562">
        <f t="shared" si="5"/>
        <v>1390600</v>
      </c>
      <c r="R26" s="1914"/>
      <c r="S26" s="287">
        <f>SUM(S25:S25)</f>
        <v>2040</v>
      </c>
      <c r="T26" s="288">
        <f>SUM(T25:T25)</f>
        <v>1980</v>
      </c>
      <c r="U26" s="563"/>
    </row>
    <row r="27" spans="1:24" ht="22.5" hidden="1" customHeight="1" outlineLevel="1" x14ac:dyDescent="0.2">
      <c r="A27" s="1950" t="s">
        <v>17</v>
      </c>
      <c r="B27" s="1125" t="s">
        <v>17</v>
      </c>
      <c r="C27" s="1127" t="s">
        <v>399</v>
      </c>
      <c r="D27" s="1302" t="s">
        <v>393</v>
      </c>
      <c r="E27" s="1848" t="s">
        <v>394</v>
      </c>
      <c r="F27" s="1862" t="s">
        <v>42</v>
      </c>
      <c r="G27" s="544" t="s">
        <v>224</v>
      </c>
      <c r="H27" s="325">
        <v>4536</v>
      </c>
      <c r="I27" s="326">
        <v>3522</v>
      </c>
      <c r="J27" s="326">
        <v>2556</v>
      </c>
      <c r="K27" s="393">
        <v>1014</v>
      </c>
      <c r="L27" s="325"/>
      <c r="M27" s="326"/>
      <c r="N27" s="326"/>
      <c r="O27" s="291"/>
      <c r="P27" s="391">
        <v>5216</v>
      </c>
      <c r="Q27" s="391">
        <v>5738</v>
      </c>
      <c r="R27" s="1914" t="s">
        <v>396</v>
      </c>
      <c r="S27" s="325">
        <v>222</v>
      </c>
      <c r="T27" s="326">
        <v>244</v>
      </c>
      <c r="U27" s="557">
        <f>H27+K27</f>
        <v>5550</v>
      </c>
    </row>
    <row r="28" spans="1:24" ht="16.5" hidden="1" customHeight="1" outlineLevel="1" x14ac:dyDescent="0.2">
      <c r="A28" s="1950"/>
      <c r="B28" s="1125"/>
      <c r="C28" s="1127"/>
      <c r="D28" s="1302"/>
      <c r="E28" s="1848"/>
      <c r="F28" s="1862"/>
      <c r="G28" s="333" t="s">
        <v>13</v>
      </c>
      <c r="H28" s="558">
        <f t="shared" ref="H28:Q28" si="6">SUM(H27:H27)</f>
        <v>4536</v>
      </c>
      <c r="I28" s="559">
        <f t="shared" si="6"/>
        <v>3522</v>
      </c>
      <c r="J28" s="559">
        <f t="shared" si="6"/>
        <v>2556</v>
      </c>
      <c r="K28" s="560">
        <f t="shared" si="6"/>
        <v>1014</v>
      </c>
      <c r="L28" s="558">
        <f t="shared" si="6"/>
        <v>0</v>
      </c>
      <c r="M28" s="559">
        <f t="shared" si="6"/>
        <v>0</v>
      </c>
      <c r="N28" s="559">
        <f t="shared" si="6"/>
        <v>0</v>
      </c>
      <c r="O28" s="561">
        <f t="shared" si="6"/>
        <v>0</v>
      </c>
      <c r="P28" s="562">
        <f t="shared" si="6"/>
        <v>5216</v>
      </c>
      <c r="Q28" s="562">
        <f t="shared" si="6"/>
        <v>5738</v>
      </c>
      <c r="R28" s="1914"/>
      <c r="S28" s="287">
        <f>SUM(S27:S27)</f>
        <v>222</v>
      </c>
      <c r="T28" s="288">
        <f>SUM(T27:T27)</f>
        <v>244</v>
      </c>
      <c r="U28" s="563"/>
    </row>
    <row r="29" spans="1:24" ht="22.5" hidden="1" customHeight="1" outlineLevel="1" x14ac:dyDescent="0.2">
      <c r="A29" s="1950" t="s">
        <v>17</v>
      </c>
      <c r="B29" s="1125" t="s">
        <v>17</v>
      </c>
      <c r="C29" s="1127" t="s">
        <v>400</v>
      </c>
      <c r="D29" s="1302" t="s">
        <v>393</v>
      </c>
      <c r="E29" s="1848" t="s">
        <v>394</v>
      </c>
      <c r="F29" s="1862" t="s">
        <v>43</v>
      </c>
      <c r="G29" s="544" t="s">
        <v>224</v>
      </c>
      <c r="H29" s="325">
        <v>4535</v>
      </c>
      <c r="I29" s="326">
        <v>3956</v>
      </c>
      <c r="J29" s="326">
        <v>2556</v>
      </c>
      <c r="K29" s="393">
        <v>579</v>
      </c>
      <c r="L29" s="325"/>
      <c r="M29" s="326"/>
      <c r="N29" s="326"/>
      <c r="O29" s="291"/>
      <c r="P29" s="391">
        <v>4747</v>
      </c>
      <c r="Q29" s="391">
        <v>5222</v>
      </c>
      <c r="R29" s="1914" t="s">
        <v>396</v>
      </c>
      <c r="S29" s="498">
        <v>167</v>
      </c>
      <c r="T29" s="499">
        <v>184</v>
      </c>
      <c r="U29" s="557">
        <f>H29+K29</f>
        <v>5114</v>
      </c>
    </row>
    <row r="30" spans="1:24" ht="16.5" hidden="1" customHeight="1" outlineLevel="1" x14ac:dyDescent="0.2">
      <c r="A30" s="1950"/>
      <c r="B30" s="1125"/>
      <c r="C30" s="1127"/>
      <c r="D30" s="1302"/>
      <c r="E30" s="1848"/>
      <c r="F30" s="1862"/>
      <c r="G30" s="333" t="s">
        <v>13</v>
      </c>
      <c r="H30" s="558">
        <f t="shared" ref="H30:Q30" si="7">SUM(H29:H29)</f>
        <v>4535</v>
      </c>
      <c r="I30" s="559">
        <f t="shared" si="7"/>
        <v>3956</v>
      </c>
      <c r="J30" s="559">
        <f t="shared" si="7"/>
        <v>2556</v>
      </c>
      <c r="K30" s="560">
        <f t="shared" si="7"/>
        <v>579</v>
      </c>
      <c r="L30" s="558">
        <f t="shared" si="7"/>
        <v>0</v>
      </c>
      <c r="M30" s="559">
        <f t="shared" si="7"/>
        <v>0</v>
      </c>
      <c r="N30" s="559">
        <f t="shared" si="7"/>
        <v>0</v>
      </c>
      <c r="O30" s="561">
        <f t="shared" si="7"/>
        <v>0</v>
      </c>
      <c r="P30" s="562">
        <f t="shared" si="7"/>
        <v>4747</v>
      </c>
      <c r="Q30" s="562">
        <f t="shared" si="7"/>
        <v>5222</v>
      </c>
      <c r="R30" s="1914"/>
      <c r="S30" s="287">
        <f>SUM(S29:S29)</f>
        <v>167</v>
      </c>
      <c r="T30" s="288">
        <f>SUM(T29:T29)</f>
        <v>184</v>
      </c>
      <c r="U30" s="563"/>
    </row>
    <row r="31" spans="1:24" ht="22.5" hidden="1" customHeight="1" outlineLevel="1" x14ac:dyDescent="0.2">
      <c r="A31" s="1950" t="s">
        <v>17</v>
      </c>
      <c r="B31" s="1125" t="s">
        <v>17</v>
      </c>
      <c r="C31" s="1127" t="s">
        <v>401</v>
      </c>
      <c r="D31" s="1302" t="s">
        <v>393</v>
      </c>
      <c r="E31" s="1848" t="s">
        <v>394</v>
      </c>
      <c r="F31" s="1862" t="s">
        <v>91</v>
      </c>
      <c r="G31" s="544" t="s">
        <v>224</v>
      </c>
      <c r="H31" s="325">
        <v>2775</v>
      </c>
      <c r="I31" s="326">
        <v>2775</v>
      </c>
      <c r="J31" s="326">
        <v>1278</v>
      </c>
      <c r="K31" s="556"/>
      <c r="L31" s="325"/>
      <c r="M31" s="326"/>
      <c r="N31" s="326"/>
      <c r="O31" s="291"/>
      <c r="P31" s="391">
        <v>2780</v>
      </c>
      <c r="Q31" s="391">
        <v>2780</v>
      </c>
      <c r="R31" s="1914" t="s">
        <v>396</v>
      </c>
      <c r="S31" s="498">
        <v>65</v>
      </c>
      <c r="T31" s="499">
        <v>70</v>
      </c>
      <c r="U31" s="557">
        <f>H31+K31</f>
        <v>2775</v>
      </c>
    </row>
    <row r="32" spans="1:24" ht="16.5" hidden="1" customHeight="1" outlineLevel="1" x14ac:dyDescent="0.2">
      <c r="A32" s="1950"/>
      <c r="B32" s="1125"/>
      <c r="C32" s="1127"/>
      <c r="D32" s="1302"/>
      <c r="E32" s="1848"/>
      <c r="F32" s="1862"/>
      <c r="G32" s="333" t="s">
        <v>13</v>
      </c>
      <c r="H32" s="558">
        <f t="shared" ref="H32:Q32" si="8">SUM(H31:H31)</f>
        <v>2775</v>
      </c>
      <c r="I32" s="559">
        <f t="shared" si="8"/>
        <v>2775</v>
      </c>
      <c r="J32" s="559">
        <f t="shared" si="8"/>
        <v>1278</v>
      </c>
      <c r="K32" s="560">
        <f t="shared" si="8"/>
        <v>0</v>
      </c>
      <c r="L32" s="558">
        <f t="shared" si="8"/>
        <v>0</v>
      </c>
      <c r="M32" s="559">
        <f t="shared" si="8"/>
        <v>0</v>
      </c>
      <c r="N32" s="559">
        <f t="shared" si="8"/>
        <v>0</v>
      </c>
      <c r="O32" s="561">
        <f t="shared" si="8"/>
        <v>0</v>
      </c>
      <c r="P32" s="562">
        <f t="shared" si="8"/>
        <v>2780</v>
      </c>
      <c r="Q32" s="562">
        <f t="shared" si="8"/>
        <v>2780</v>
      </c>
      <c r="R32" s="1914"/>
      <c r="S32" s="287">
        <f>SUM(S31:S31)</f>
        <v>65</v>
      </c>
      <c r="T32" s="288">
        <f>SUM(T31:T31)</f>
        <v>70</v>
      </c>
      <c r="U32" s="563"/>
    </row>
    <row r="33" spans="1:21" ht="22.5" hidden="1" customHeight="1" outlineLevel="1" x14ac:dyDescent="0.2">
      <c r="A33" s="1950" t="s">
        <v>17</v>
      </c>
      <c r="B33" s="1125" t="s">
        <v>17</v>
      </c>
      <c r="C33" s="1127" t="s">
        <v>402</v>
      </c>
      <c r="D33" s="1302" t="s">
        <v>393</v>
      </c>
      <c r="E33" s="1848" t="s">
        <v>394</v>
      </c>
      <c r="F33" s="1862" t="s">
        <v>92</v>
      </c>
      <c r="G33" s="544" t="s">
        <v>224</v>
      </c>
      <c r="H33" s="325">
        <v>4500</v>
      </c>
      <c r="I33" s="326">
        <v>4500</v>
      </c>
      <c r="J33" s="326">
        <v>2600</v>
      </c>
      <c r="K33" s="556"/>
      <c r="L33" s="325"/>
      <c r="M33" s="326"/>
      <c r="N33" s="326"/>
      <c r="O33" s="291"/>
      <c r="P33" s="391">
        <v>5000</v>
      </c>
      <c r="Q33" s="391">
        <v>5500</v>
      </c>
      <c r="R33" s="1914" t="s">
        <v>396</v>
      </c>
      <c r="S33" s="498">
        <v>115</v>
      </c>
      <c r="T33" s="499">
        <v>126</v>
      </c>
      <c r="U33" s="557">
        <f>H33+K33</f>
        <v>4500</v>
      </c>
    </row>
    <row r="34" spans="1:21" ht="16.5" hidden="1" customHeight="1" outlineLevel="1" x14ac:dyDescent="0.2">
      <c r="A34" s="1950"/>
      <c r="B34" s="1125"/>
      <c r="C34" s="1127"/>
      <c r="D34" s="1302"/>
      <c r="E34" s="1848"/>
      <c r="F34" s="1862"/>
      <c r="G34" s="333" t="s">
        <v>13</v>
      </c>
      <c r="H34" s="558">
        <f t="shared" ref="H34:Q34" si="9">SUM(H33:H33)</f>
        <v>4500</v>
      </c>
      <c r="I34" s="559">
        <f t="shared" si="9"/>
        <v>4500</v>
      </c>
      <c r="J34" s="559">
        <f t="shared" si="9"/>
        <v>2600</v>
      </c>
      <c r="K34" s="560">
        <f t="shared" si="9"/>
        <v>0</v>
      </c>
      <c r="L34" s="558">
        <f t="shared" si="9"/>
        <v>0</v>
      </c>
      <c r="M34" s="559">
        <f t="shared" si="9"/>
        <v>0</v>
      </c>
      <c r="N34" s="559">
        <f t="shared" si="9"/>
        <v>0</v>
      </c>
      <c r="O34" s="561">
        <f t="shared" si="9"/>
        <v>0</v>
      </c>
      <c r="P34" s="562">
        <f t="shared" si="9"/>
        <v>5000</v>
      </c>
      <c r="Q34" s="562">
        <f t="shared" si="9"/>
        <v>5500</v>
      </c>
      <c r="R34" s="1914"/>
      <c r="S34" s="287">
        <f>SUM(S33:S33)</f>
        <v>115</v>
      </c>
      <c r="T34" s="288">
        <f>SUM(T33:T33)</f>
        <v>126</v>
      </c>
      <c r="U34" s="563"/>
    </row>
    <row r="35" spans="1:21" ht="22.5" hidden="1" customHeight="1" outlineLevel="1" x14ac:dyDescent="0.2">
      <c r="A35" s="1950" t="s">
        <v>17</v>
      </c>
      <c r="B35" s="1125" t="s">
        <v>17</v>
      </c>
      <c r="C35" s="1127" t="s">
        <v>403</v>
      </c>
      <c r="D35" s="1302" t="s">
        <v>393</v>
      </c>
      <c r="E35" s="1848" t="s">
        <v>394</v>
      </c>
      <c r="F35" s="1862" t="s">
        <v>115</v>
      </c>
      <c r="G35" s="544" t="s">
        <v>224</v>
      </c>
      <c r="H35" s="564"/>
      <c r="I35" s="565"/>
      <c r="J35" s="326"/>
      <c r="K35" s="556"/>
      <c r="L35" s="325"/>
      <c r="M35" s="326"/>
      <c r="N35" s="326"/>
      <c r="O35" s="291"/>
      <c r="P35" s="391"/>
      <c r="Q35" s="391"/>
      <c r="R35" s="1914" t="s">
        <v>396</v>
      </c>
      <c r="S35" s="498"/>
      <c r="T35" s="499"/>
      <c r="U35" s="557">
        <f>H35+K35</f>
        <v>0</v>
      </c>
    </row>
    <row r="36" spans="1:21" ht="16.5" hidden="1" customHeight="1" outlineLevel="1" x14ac:dyDescent="0.2">
      <c r="A36" s="1950"/>
      <c r="B36" s="1125"/>
      <c r="C36" s="1127"/>
      <c r="D36" s="1302"/>
      <c r="E36" s="1848"/>
      <c r="F36" s="1862"/>
      <c r="G36" s="333" t="s">
        <v>13</v>
      </c>
      <c r="H36" s="558">
        <f t="shared" ref="H36:Q36" si="10">SUM(H35:H35)</f>
        <v>0</v>
      </c>
      <c r="I36" s="559">
        <f t="shared" si="10"/>
        <v>0</v>
      </c>
      <c r="J36" s="559">
        <f t="shared" si="10"/>
        <v>0</v>
      </c>
      <c r="K36" s="560">
        <f t="shared" si="10"/>
        <v>0</v>
      </c>
      <c r="L36" s="558">
        <f t="shared" si="10"/>
        <v>0</v>
      </c>
      <c r="M36" s="559">
        <f t="shared" si="10"/>
        <v>0</v>
      </c>
      <c r="N36" s="559">
        <f t="shared" si="10"/>
        <v>0</v>
      </c>
      <c r="O36" s="561">
        <f t="shared" si="10"/>
        <v>0</v>
      </c>
      <c r="P36" s="562">
        <f t="shared" si="10"/>
        <v>0</v>
      </c>
      <c r="Q36" s="562">
        <f t="shared" si="10"/>
        <v>0</v>
      </c>
      <c r="R36" s="1914"/>
      <c r="S36" s="287">
        <f>SUM(S35:S35)</f>
        <v>0</v>
      </c>
      <c r="T36" s="288">
        <f>SUM(T35:T35)</f>
        <v>0</v>
      </c>
      <c r="U36" s="563"/>
    </row>
    <row r="37" spans="1:21" ht="22.5" hidden="1" customHeight="1" outlineLevel="1" x14ac:dyDescent="0.2">
      <c r="A37" s="1950" t="s">
        <v>17</v>
      </c>
      <c r="B37" s="1125" t="s">
        <v>17</v>
      </c>
      <c r="C37" s="1127" t="s">
        <v>404</v>
      </c>
      <c r="D37" s="1302" t="s">
        <v>393</v>
      </c>
      <c r="E37" s="1848" t="s">
        <v>394</v>
      </c>
      <c r="F37" s="1862" t="s">
        <v>93</v>
      </c>
      <c r="G37" s="544" t="s">
        <v>224</v>
      </c>
      <c r="H37" s="325">
        <v>4500</v>
      </c>
      <c r="I37" s="326">
        <v>3500</v>
      </c>
      <c r="J37" s="326">
        <v>2600</v>
      </c>
      <c r="K37" s="393">
        <v>1000</v>
      </c>
      <c r="L37" s="325"/>
      <c r="M37" s="326"/>
      <c r="N37" s="326"/>
      <c r="O37" s="291"/>
      <c r="P37" s="391">
        <v>5000</v>
      </c>
      <c r="Q37" s="391">
        <v>5500</v>
      </c>
      <c r="R37" s="1914" t="s">
        <v>396</v>
      </c>
      <c r="S37" s="498">
        <v>36</v>
      </c>
      <c r="T37" s="499">
        <v>36</v>
      </c>
      <c r="U37" s="557">
        <f>H37+K37</f>
        <v>5500</v>
      </c>
    </row>
    <row r="38" spans="1:21" ht="16.5" hidden="1" customHeight="1" outlineLevel="1" x14ac:dyDescent="0.2">
      <c r="A38" s="1950"/>
      <c r="B38" s="1125"/>
      <c r="C38" s="1127"/>
      <c r="D38" s="1302"/>
      <c r="E38" s="1848"/>
      <c r="F38" s="1862"/>
      <c r="G38" s="333" t="s">
        <v>13</v>
      </c>
      <c r="H38" s="558">
        <f t="shared" ref="H38:Q38" si="11">SUM(H37:H37)</f>
        <v>4500</v>
      </c>
      <c r="I38" s="559">
        <f t="shared" si="11"/>
        <v>3500</v>
      </c>
      <c r="J38" s="559">
        <f t="shared" si="11"/>
        <v>2600</v>
      </c>
      <c r="K38" s="560">
        <f t="shared" si="11"/>
        <v>1000</v>
      </c>
      <c r="L38" s="558">
        <f t="shared" si="11"/>
        <v>0</v>
      </c>
      <c r="M38" s="559">
        <f t="shared" si="11"/>
        <v>0</v>
      </c>
      <c r="N38" s="559">
        <f t="shared" si="11"/>
        <v>0</v>
      </c>
      <c r="O38" s="561">
        <f t="shared" si="11"/>
        <v>0</v>
      </c>
      <c r="P38" s="562">
        <f t="shared" si="11"/>
        <v>5000</v>
      </c>
      <c r="Q38" s="562">
        <f t="shared" si="11"/>
        <v>5500</v>
      </c>
      <c r="R38" s="1914"/>
      <c r="S38" s="287">
        <f>SUM(S37:S37)</f>
        <v>36</v>
      </c>
      <c r="T38" s="288">
        <f>SUM(T37:T37)</f>
        <v>36</v>
      </c>
      <c r="U38" s="563"/>
    </row>
    <row r="39" spans="1:21" ht="22.5" hidden="1" customHeight="1" outlineLevel="1" x14ac:dyDescent="0.2">
      <c r="A39" s="1950" t="s">
        <v>17</v>
      </c>
      <c r="B39" s="1125" t="s">
        <v>17</v>
      </c>
      <c r="C39" s="1127" t="s">
        <v>405</v>
      </c>
      <c r="D39" s="1302" t="s">
        <v>393</v>
      </c>
      <c r="E39" s="1848" t="s">
        <v>394</v>
      </c>
      <c r="F39" s="1862" t="s">
        <v>94</v>
      </c>
      <c r="G39" s="544" t="s">
        <v>224</v>
      </c>
      <c r="H39" s="325">
        <v>2029</v>
      </c>
      <c r="I39" s="326">
        <v>2029</v>
      </c>
      <c r="J39" s="326">
        <v>639</v>
      </c>
      <c r="K39" s="556"/>
      <c r="L39" s="325"/>
      <c r="M39" s="326"/>
      <c r="N39" s="326"/>
      <c r="O39" s="291"/>
      <c r="P39" s="391">
        <v>2029</v>
      </c>
      <c r="Q39" s="391">
        <v>2029</v>
      </c>
      <c r="R39" s="1914" t="s">
        <v>396</v>
      </c>
      <c r="S39" s="498">
        <v>245</v>
      </c>
      <c r="T39" s="499">
        <v>245</v>
      </c>
      <c r="U39" s="557">
        <f>H39+K39</f>
        <v>2029</v>
      </c>
    </row>
    <row r="40" spans="1:21" ht="16.5" hidden="1" customHeight="1" outlineLevel="1" x14ac:dyDescent="0.2">
      <c r="A40" s="1950"/>
      <c r="B40" s="1125"/>
      <c r="C40" s="1127"/>
      <c r="D40" s="1302"/>
      <c r="E40" s="1848"/>
      <c r="F40" s="1862"/>
      <c r="G40" s="333" t="s">
        <v>13</v>
      </c>
      <c r="H40" s="558">
        <f t="shared" ref="H40:Q40" si="12">SUM(H39:H39)</f>
        <v>2029</v>
      </c>
      <c r="I40" s="559">
        <f t="shared" si="12"/>
        <v>2029</v>
      </c>
      <c r="J40" s="559">
        <f t="shared" si="12"/>
        <v>639</v>
      </c>
      <c r="K40" s="560">
        <f t="shared" si="12"/>
        <v>0</v>
      </c>
      <c r="L40" s="558">
        <f t="shared" si="12"/>
        <v>0</v>
      </c>
      <c r="M40" s="559">
        <f t="shared" si="12"/>
        <v>0</v>
      </c>
      <c r="N40" s="559">
        <f t="shared" si="12"/>
        <v>0</v>
      </c>
      <c r="O40" s="561">
        <f t="shared" si="12"/>
        <v>0</v>
      </c>
      <c r="P40" s="562">
        <f t="shared" si="12"/>
        <v>2029</v>
      </c>
      <c r="Q40" s="562">
        <f t="shared" si="12"/>
        <v>2029</v>
      </c>
      <c r="R40" s="1914"/>
      <c r="S40" s="287">
        <f>SUM(S39:S39)</f>
        <v>245</v>
      </c>
      <c r="T40" s="288">
        <f>SUM(T39:T39)</f>
        <v>245</v>
      </c>
      <c r="U40" s="563"/>
    </row>
    <row r="41" spans="1:21" ht="22.5" hidden="1" customHeight="1" outlineLevel="1" x14ac:dyDescent="0.2">
      <c r="A41" s="1950" t="s">
        <v>17</v>
      </c>
      <c r="B41" s="1125" t="s">
        <v>17</v>
      </c>
      <c r="C41" s="1127" t="s">
        <v>406</v>
      </c>
      <c r="D41" s="1302" t="s">
        <v>393</v>
      </c>
      <c r="E41" s="1848" t="s">
        <v>394</v>
      </c>
      <c r="F41" s="1862" t="s">
        <v>95</v>
      </c>
      <c r="G41" s="544" t="s">
        <v>224</v>
      </c>
      <c r="H41" s="325">
        <v>4449</v>
      </c>
      <c r="I41" s="326">
        <v>3493</v>
      </c>
      <c r="J41" s="326">
        <v>2556</v>
      </c>
      <c r="K41" s="393">
        <v>956</v>
      </c>
      <c r="L41" s="325"/>
      <c r="M41" s="326"/>
      <c r="N41" s="326"/>
      <c r="O41" s="291"/>
      <c r="P41" s="391">
        <v>4192</v>
      </c>
      <c r="Q41" s="391">
        <v>4611</v>
      </c>
      <c r="R41" s="1914" t="s">
        <v>396</v>
      </c>
      <c r="S41" s="498">
        <v>375</v>
      </c>
      <c r="T41" s="499">
        <v>400</v>
      </c>
      <c r="U41" s="557">
        <f>H41+K41</f>
        <v>5405</v>
      </c>
    </row>
    <row r="42" spans="1:21" ht="16.5" hidden="1" customHeight="1" outlineLevel="1" x14ac:dyDescent="0.2">
      <c r="A42" s="1950"/>
      <c r="B42" s="1125"/>
      <c r="C42" s="1127"/>
      <c r="D42" s="1302"/>
      <c r="E42" s="1848"/>
      <c r="F42" s="1862"/>
      <c r="G42" s="333" t="s">
        <v>13</v>
      </c>
      <c r="H42" s="558">
        <f t="shared" ref="H42:Q42" si="13">SUM(H41:H41)</f>
        <v>4449</v>
      </c>
      <c r="I42" s="559">
        <f t="shared" si="13"/>
        <v>3493</v>
      </c>
      <c r="J42" s="559">
        <f t="shared" si="13"/>
        <v>2556</v>
      </c>
      <c r="K42" s="560">
        <f t="shared" si="13"/>
        <v>956</v>
      </c>
      <c r="L42" s="558">
        <f t="shared" si="13"/>
        <v>0</v>
      </c>
      <c r="M42" s="559">
        <f t="shared" si="13"/>
        <v>0</v>
      </c>
      <c r="N42" s="559">
        <f t="shared" si="13"/>
        <v>0</v>
      </c>
      <c r="O42" s="561">
        <f t="shared" si="13"/>
        <v>0</v>
      </c>
      <c r="P42" s="562">
        <f t="shared" si="13"/>
        <v>4192</v>
      </c>
      <c r="Q42" s="562">
        <f t="shared" si="13"/>
        <v>4611</v>
      </c>
      <c r="R42" s="1914"/>
      <c r="S42" s="287">
        <f>SUM(S41:S41)</f>
        <v>375</v>
      </c>
      <c r="T42" s="288">
        <f>SUM(T41:T41)</f>
        <v>400</v>
      </c>
      <c r="U42" s="563"/>
    </row>
    <row r="43" spans="1:21" ht="61.5" customHeight="1" collapsed="1" x14ac:dyDescent="0.2">
      <c r="A43" s="1950" t="s">
        <v>17</v>
      </c>
      <c r="B43" s="1125" t="s">
        <v>17</v>
      </c>
      <c r="C43" s="1127" t="s">
        <v>22</v>
      </c>
      <c r="D43" s="1302" t="s">
        <v>407</v>
      </c>
      <c r="E43" s="1848" t="s">
        <v>408</v>
      </c>
      <c r="F43" s="1862" t="s">
        <v>378</v>
      </c>
      <c r="G43" s="544" t="s">
        <v>224</v>
      </c>
      <c r="H43" s="325">
        <v>261.5</v>
      </c>
      <c r="I43" s="326">
        <v>261.5</v>
      </c>
      <c r="J43" s="326">
        <v>0</v>
      </c>
      <c r="K43" s="393">
        <v>0</v>
      </c>
      <c r="L43" s="325">
        <v>245.8</v>
      </c>
      <c r="M43" s="326">
        <v>245.8</v>
      </c>
      <c r="N43" s="326">
        <v>0</v>
      </c>
      <c r="O43" s="291">
        <v>0</v>
      </c>
      <c r="P43" s="391">
        <v>284</v>
      </c>
      <c r="Q43" s="391">
        <v>288</v>
      </c>
      <c r="R43" s="1914" t="s">
        <v>409</v>
      </c>
      <c r="S43" s="498">
        <v>590</v>
      </c>
      <c r="T43" s="547">
        <v>535</v>
      </c>
      <c r="U43" s="566" t="s">
        <v>410</v>
      </c>
    </row>
    <row r="44" spans="1:21" ht="40.5" customHeight="1" x14ac:dyDescent="0.2">
      <c r="A44" s="1950"/>
      <c r="B44" s="1125"/>
      <c r="C44" s="1127"/>
      <c r="D44" s="1302"/>
      <c r="E44" s="1848"/>
      <c r="F44" s="1862"/>
      <c r="G44" s="279" t="s">
        <v>13</v>
      </c>
      <c r="H44" s="287">
        <f t="shared" ref="H44:Q44" si="14">SUM(H43:H43)</f>
        <v>261.5</v>
      </c>
      <c r="I44" s="288">
        <f t="shared" si="14"/>
        <v>261.5</v>
      </c>
      <c r="J44" s="288">
        <f t="shared" si="14"/>
        <v>0</v>
      </c>
      <c r="K44" s="289">
        <f t="shared" si="14"/>
        <v>0</v>
      </c>
      <c r="L44" s="287">
        <f t="shared" si="14"/>
        <v>245.8</v>
      </c>
      <c r="M44" s="288">
        <f t="shared" si="14"/>
        <v>245.8</v>
      </c>
      <c r="N44" s="288">
        <f t="shared" si="14"/>
        <v>0</v>
      </c>
      <c r="O44" s="313">
        <f t="shared" si="14"/>
        <v>0</v>
      </c>
      <c r="P44" s="567">
        <f t="shared" si="14"/>
        <v>284</v>
      </c>
      <c r="Q44" s="567">
        <f t="shared" si="14"/>
        <v>288</v>
      </c>
      <c r="R44" s="1914"/>
      <c r="S44" s="287">
        <f>SUM(S43:S43)</f>
        <v>590</v>
      </c>
      <c r="T44" s="313">
        <f>SUM(T43:T43)</f>
        <v>535</v>
      </c>
      <c r="U44" s="289"/>
    </row>
    <row r="45" spans="1:21" ht="21.75" customHeight="1" x14ac:dyDescent="0.2">
      <c r="A45" s="1950" t="s">
        <v>17</v>
      </c>
      <c r="B45" s="1125" t="s">
        <v>17</v>
      </c>
      <c r="C45" s="1127" t="s">
        <v>378</v>
      </c>
      <c r="D45" s="1302" t="s">
        <v>411</v>
      </c>
      <c r="E45" s="1848" t="s">
        <v>412</v>
      </c>
      <c r="F45" s="1862" t="s">
        <v>378</v>
      </c>
      <c r="G45" s="397" t="s">
        <v>413</v>
      </c>
      <c r="H45" s="325">
        <v>135.1</v>
      </c>
      <c r="I45" s="326">
        <v>135.1</v>
      </c>
      <c r="J45" s="326">
        <v>0</v>
      </c>
      <c r="K45" s="393">
        <v>0</v>
      </c>
      <c r="L45" s="325">
        <v>111.6</v>
      </c>
      <c r="M45" s="326">
        <v>111.6</v>
      </c>
      <c r="N45" s="326">
        <v>0</v>
      </c>
      <c r="O45" s="291">
        <v>0</v>
      </c>
      <c r="P45" s="391">
        <v>135.1</v>
      </c>
      <c r="Q45" s="391">
        <v>140.19999999999999</v>
      </c>
      <c r="R45" s="1914" t="s">
        <v>414</v>
      </c>
      <c r="S45" s="568">
        <v>368</v>
      </c>
      <c r="T45" s="569">
        <v>367</v>
      </c>
      <c r="U45" s="570" t="s">
        <v>410</v>
      </c>
    </row>
    <row r="46" spans="1:21" ht="15" customHeight="1" x14ac:dyDescent="0.2">
      <c r="A46" s="1950"/>
      <c r="B46" s="1125"/>
      <c r="C46" s="1127"/>
      <c r="D46" s="1302"/>
      <c r="E46" s="1848"/>
      <c r="F46" s="1862"/>
      <c r="G46" s="279" t="s">
        <v>13</v>
      </c>
      <c r="H46" s="287">
        <f t="shared" ref="H46:Q46" si="15">SUM(H45:H45)</f>
        <v>135.1</v>
      </c>
      <c r="I46" s="288">
        <f t="shared" si="15"/>
        <v>135.1</v>
      </c>
      <c r="J46" s="288">
        <f t="shared" si="15"/>
        <v>0</v>
      </c>
      <c r="K46" s="289">
        <f t="shared" si="15"/>
        <v>0</v>
      </c>
      <c r="L46" s="287">
        <f t="shared" si="15"/>
        <v>111.6</v>
      </c>
      <c r="M46" s="288">
        <f t="shared" si="15"/>
        <v>111.6</v>
      </c>
      <c r="N46" s="288">
        <f t="shared" si="15"/>
        <v>0</v>
      </c>
      <c r="O46" s="313">
        <f t="shared" si="15"/>
        <v>0</v>
      </c>
      <c r="P46" s="567">
        <f t="shared" si="15"/>
        <v>135.1</v>
      </c>
      <c r="Q46" s="567">
        <f t="shared" si="15"/>
        <v>140.19999999999999</v>
      </c>
      <c r="R46" s="1914"/>
      <c r="S46" s="287">
        <f>SUM(S45:S45)</f>
        <v>368</v>
      </c>
      <c r="T46" s="313">
        <f>SUM(T45:T45)</f>
        <v>367</v>
      </c>
      <c r="U46" s="571"/>
    </row>
    <row r="47" spans="1:21" s="573" customFormat="1" ht="21.75" customHeight="1" x14ac:dyDescent="0.2">
      <c r="A47" s="1950" t="s">
        <v>17</v>
      </c>
      <c r="B47" s="1125" t="s">
        <v>17</v>
      </c>
      <c r="C47" s="1127" t="s">
        <v>415</v>
      </c>
      <c r="D47" s="1302" t="s">
        <v>416</v>
      </c>
      <c r="E47" s="1848" t="s">
        <v>390</v>
      </c>
      <c r="F47" s="1862" t="s">
        <v>378</v>
      </c>
      <c r="G47" s="1958" t="s">
        <v>413</v>
      </c>
      <c r="H47" s="1959">
        <v>193.6</v>
      </c>
      <c r="I47" s="1955">
        <v>193.6</v>
      </c>
      <c r="J47" s="1955">
        <v>0</v>
      </c>
      <c r="K47" s="1960">
        <v>0</v>
      </c>
      <c r="L47" s="1959">
        <v>184.7</v>
      </c>
      <c r="M47" s="1955">
        <v>184.7</v>
      </c>
      <c r="N47" s="1955">
        <v>0</v>
      </c>
      <c r="O47" s="1956">
        <v>0</v>
      </c>
      <c r="P47" s="1957">
        <v>216.1</v>
      </c>
      <c r="Q47" s="1957">
        <v>240.5</v>
      </c>
      <c r="R47" s="1888" t="s">
        <v>417</v>
      </c>
      <c r="S47" s="1911">
        <v>1000</v>
      </c>
      <c r="T47" s="1912">
        <v>900</v>
      </c>
      <c r="U47" s="572" t="s">
        <v>410</v>
      </c>
    </row>
    <row r="48" spans="1:21" s="573" customFormat="1" ht="12" customHeight="1" x14ac:dyDescent="0.2">
      <c r="A48" s="1950"/>
      <c r="B48" s="1125"/>
      <c r="C48" s="1127"/>
      <c r="D48" s="1302"/>
      <c r="E48" s="1848"/>
      <c r="F48" s="1862"/>
      <c r="G48" s="1958"/>
      <c r="H48" s="1959"/>
      <c r="I48" s="1955"/>
      <c r="J48" s="1955"/>
      <c r="K48" s="1960"/>
      <c r="L48" s="1959"/>
      <c r="M48" s="1955"/>
      <c r="N48" s="1955"/>
      <c r="O48" s="1956"/>
      <c r="P48" s="1957"/>
      <c r="Q48" s="1957"/>
      <c r="R48" s="1888"/>
      <c r="S48" s="1911"/>
      <c r="T48" s="1913"/>
      <c r="U48" s="574"/>
    </row>
    <row r="49" spans="1:24" ht="36.75" customHeight="1" x14ac:dyDescent="0.2">
      <c r="A49" s="1950"/>
      <c r="B49" s="1125"/>
      <c r="C49" s="1127"/>
      <c r="D49" s="1302"/>
      <c r="E49" s="1848"/>
      <c r="F49" s="1862"/>
      <c r="G49" s="279" t="s">
        <v>13</v>
      </c>
      <c r="H49" s="287">
        <f>SUM(H47:H48)</f>
        <v>193.6</v>
      </c>
      <c r="I49" s="288">
        <f t="shared" ref="I49:Q49" si="16">SUM(I47:I48)</f>
        <v>193.6</v>
      </c>
      <c r="J49" s="288">
        <f t="shared" si="16"/>
        <v>0</v>
      </c>
      <c r="K49" s="289">
        <f t="shared" si="16"/>
        <v>0</v>
      </c>
      <c r="L49" s="287">
        <f t="shared" si="16"/>
        <v>184.7</v>
      </c>
      <c r="M49" s="288">
        <f t="shared" si="16"/>
        <v>184.7</v>
      </c>
      <c r="N49" s="288">
        <f t="shared" si="16"/>
        <v>0</v>
      </c>
      <c r="O49" s="313">
        <f t="shared" si="16"/>
        <v>0</v>
      </c>
      <c r="P49" s="567">
        <f t="shared" si="16"/>
        <v>216.1</v>
      </c>
      <c r="Q49" s="567">
        <f t="shared" si="16"/>
        <v>240.5</v>
      </c>
      <c r="R49" s="1888"/>
      <c r="S49" s="287">
        <f>SUM(S47)</f>
        <v>1000</v>
      </c>
      <c r="T49" s="313">
        <f>SUM(T47)</f>
        <v>900</v>
      </c>
      <c r="U49" s="571"/>
    </row>
    <row r="50" spans="1:24" s="573" customFormat="1" ht="51" customHeight="1" x14ac:dyDescent="0.2">
      <c r="A50" s="1950" t="s">
        <v>17</v>
      </c>
      <c r="B50" s="1125" t="s">
        <v>17</v>
      </c>
      <c r="C50" s="1127" t="s">
        <v>315</v>
      </c>
      <c r="D50" s="1302" t="s">
        <v>418</v>
      </c>
      <c r="E50" s="1848" t="s">
        <v>419</v>
      </c>
      <c r="F50" s="1862" t="s">
        <v>378</v>
      </c>
      <c r="G50" s="544" t="s">
        <v>224</v>
      </c>
      <c r="H50" s="325">
        <v>3.5</v>
      </c>
      <c r="I50" s="326">
        <v>3.5</v>
      </c>
      <c r="J50" s="326">
        <v>0</v>
      </c>
      <c r="K50" s="556">
        <v>0</v>
      </c>
      <c r="L50" s="325">
        <v>2.4</v>
      </c>
      <c r="M50" s="326">
        <v>2.4</v>
      </c>
      <c r="N50" s="565">
        <v>0</v>
      </c>
      <c r="O50" s="575">
        <v>0</v>
      </c>
      <c r="P50" s="391">
        <v>9</v>
      </c>
      <c r="Q50" s="391">
        <v>15.6</v>
      </c>
      <c r="R50" s="1888" t="s">
        <v>420</v>
      </c>
      <c r="S50" s="576">
        <v>15</v>
      </c>
      <c r="T50" s="577">
        <v>14</v>
      </c>
      <c r="U50" s="572" t="s">
        <v>410</v>
      </c>
    </row>
    <row r="51" spans="1:24" ht="31.5" customHeight="1" x14ac:dyDescent="0.2">
      <c r="A51" s="1950"/>
      <c r="B51" s="1125"/>
      <c r="C51" s="1127"/>
      <c r="D51" s="1302"/>
      <c r="E51" s="1848"/>
      <c r="F51" s="1862"/>
      <c r="G51" s="279" t="s">
        <v>13</v>
      </c>
      <c r="H51" s="287">
        <f>SUM(H50)</f>
        <v>3.5</v>
      </c>
      <c r="I51" s="288">
        <f t="shared" ref="I51:Q51" si="17">SUM(I50)</f>
        <v>3.5</v>
      </c>
      <c r="J51" s="288">
        <f t="shared" si="17"/>
        <v>0</v>
      </c>
      <c r="K51" s="289">
        <f t="shared" si="17"/>
        <v>0</v>
      </c>
      <c r="L51" s="287">
        <f t="shared" si="17"/>
        <v>2.4</v>
      </c>
      <c r="M51" s="288">
        <f t="shared" si="17"/>
        <v>2.4</v>
      </c>
      <c r="N51" s="288">
        <f t="shared" si="17"/>
        <v>0</v>
      </c>
      <c r="O51" s="313">
        <f t="shared" si="17"/>
        <v>0</v>
      </c>
      <c r="P51" s="567">
        <f t="shared" si="17"/>
        <v>9</v>
      </c>
      <c r="Q51" s="567">
        <f t="shared" si="17"/>
        <v>15.6</v>
      </c>
      <c r="R51" s="1888"/>
      <c r="S51" s="287">
        <f>S50</f>
        <v>15</v>
      </c>
      <c r="T51" s="313">
        <f>T50</f>
        <v>14</v>
      </c>
      <c r="U51" s="289"/>
    </row>
    <row r="52" spans="1:24" ht="28.5" customHeight="1" x14ac:dyDescent="0.2">
      <c r="A52" s="1950" t="s">
        <v>17</v>
      </c>
      <c r="B52" s="1125" t="s">
        <v>17</v>
      </c>
      <c r="C52" s="1127" t="s">
        <v>31</v>
      </c>
      <c r="D52" s="1302" t="s">
        <v>421</v>
      </c>
      <c r="E52" s="1848" t="s">
        <v>386</v>
      </c>
      <c r="F52" s="1862" t="s">
        <v>378</v>
      </c>
      <c r="G52" s="544" t="s">
        <v>224</v>
      </c>
      <c r="H52" s="325">
        <v>51</v>
      </c>
      <c r="I52" s="326">
        <v>51</v>
      </c>
      <c r="J52" s="559">
        <v>0</v>
      </c>
      <c r="K52" s="560">
        <v>0</v>
      </c>
      <c r="L52" s="325">
        <v>51</v>
      </c>
      <c r="M52" s="326">
        <v>51</v>
      </c>
      <c r="N52" s="559">
        <v>0</v>
      </c>
      <c r="O52" s="561">
        <v>0</v>
      </c>
      <c r="P52" s="391">
        <v>40</v>
      </c>
      <c r="Q52" s="391">
        <v>60.5</v>
      </c>
      <c r="R52" s="1888" t="s">
        <v>422</v>
      </c>
      <c r="S52" s="325">
        <v>68000</v>
      </c>
      <c r="T52" s="291">
        <v>54280</v>
      </c>
      <c r="U52" s="572" t="s">
        <v>410</v>
      </c>
    </row>
    <row r="53" spans="1:24" ht="15.75" customHeight="1" x14ac:dyDescent="0.2">
      <c r="A53" s="1950"/>
      <c r="B53" s="1125"/>
      <c r="C53" s="1127"/>
      <c r="D53" s="1302"/>
      <c r="E53" s="1848"/>
      <c r="F53" s="1862"/>
      <c r="G53" s="279" t="s">
        <v>13</v>
      </c>
      <c r="H53" s="287">
        <f t="shared" ref="H53:Q53" si="18">SUM(H52:H52)</f>
        <v>51</v>
      </c>
      <c r="I53" s="288">
        <f t="shared" si="18"/>
        <v>51</v>
      </c>
      <c r="J53" s="288">
        <f t="shared" si="18"/>
        <v>0</v>
      </c>
      <c r="K53" s="289">
        <f t="shared" si="18"/>
        <v>0</v>
      </c>
      <c r="L53" s="287">
        <f t="shared" si="18"/>
        <v>51</v>
      </c>
      <c r="M53" s="288">
        <f t="shared" si="18"/>
        <v>51</v>
      </c>
      <c r="N53" s="288">
        <f t="shared" si="18"/>
        <v>0</v>
      </c>
      <c r="O53" s="313">
        <f t="shared" si="18"/>
        <v>0</v>
      </c>
      <c r="P53" s="567">
        <f t="shared" si="18"/>
        <v>40</v>
      </c>
      <c r="Q53" s="567">
        <f t="shared" si="18"/>
        <v>60.5</v>
      </c>
      <c r="R53" s="1888"/>
      <c r="S53" s="287">
        <f>SUM(S52)</f>
        <v>68000</v>
      </c>
      <c r="T53" s="313">
        <f>SUM(T52)</f>
        <v>54280</v>
      </c>
      <c r="U53" s="289"/>
    </row>
    <row r="54" spans="1:24" s="229" customFormat="1" ht="65.25" customHeight="1" x14ac:dyDescent="0.2">
      <c r="A54" s="1950" t="s">
        <v>17</v>
      </c>
      <c r="B54" s="1125" t="s">
        <v>17</v>
      </c>
      <c r="C54" s="1127" t="s">
        <v>32</v>
      </c>
      <c r="D54" s="1129" t="s">
        <v>423</v>
      </c>
      <c r="E54" s="1131" t="s">
        <v>408</v>
      </c>
      <c r="F54" s="1199">
        <v>7</v>
      </c>
      <c r="G54" s="578" t="s">
        <v>413</v>
      </c>
      <c r="H54" s="325">
        <v>0</v>
      </c>
      <c r="I54" s="326">
        <v>0</v>
      </c>
      <c r="J54" s="326">
        <v>0</v>
      </c>
      <c r="K54" s="393">
        <v>0</v>
      </c>
      <c r="L54" s="325">
        <v>0</v>
      </c>
      <c r="M54" s="326">
        <v>0</v>
      </c>
      <c r="N54" s="326">
        <v>0</v>
      </c>
      <c r="O54" s="291">
        <v>0</v>
      </c>
      <c r="P54" s="391">
        <v>0</v>
      </c>
      <c r="Q54" s="391">
        <v>0</v>
      </c>
      <c r="R54" s="1121" t="s">
        <v>424</v>
      </c>
      <c r="S54" s="325">
        <v>0</v>
      </c>
      <c r="T54" s="291">
        <v>0</v>
      </c>
      <c r="U54" s="579"/>
    </row>
    <row r="55" spans="1:24" s="229" customFormat="1" ht="15.75" customHeight="1" x14ac:dyDescent="0.2">
      <c r="A55" s="1950"/>
      <c r="B55" s="1125"/>
      <c r="C55" s="1127"/>
      <c r="D55" s="1129"/>
      <c r="E55" s="1131"/>
      <c r="F55" s="1199"/>
      <c r="G55" s="580" t="s">
        <v>13</v>
      </c>
      <c r="H55" s="581">
        <f>SUM(H54)</f>
        <v>0</v>
      </c>
      <c r="I55" s="282">
        <f t="shared" ref="I55:Q55" si="19">SUM(I54)</f>
        <v>0</v>
      </c>
      <c r="J55" s="282">
        <f t="shared" si="19"/>
        <v>0</v>
      </c>
      <c r="K55" s="582">
        <f t="shared" si="19"/>
        <v>0</v>
      </c>
      <c r="L55" s="581">
        <f t="shared" si="19"/>
        <v>0</v>
      </c>
      <c r="M55" s="282">
        <f t="shared" si="19"/>
        <v>0</v>
      </c>
      <c r="N55" s="282">
        <f t="shared" si="19"/>
        <v>0</v>
      </c>
      <c r="O55" s="281">
        <f t="shared" si="19"/>
        <v>0</v>
      </c>
      <c r="P55" s="583">
        <f t="shared" si="19"/>
        <v>0</v>
      </c>
      <c r="Q55" s="583">
        <f t="shared" si="19"/>
        <v>0</v>
      </c>
      <c r="R55" s="1121"/>
      <c r="S55" s="287">
        <f>S54</f>
        <v>0</v>
      </c>
      <c r="T55" s="313">
        <f>T54</f>
        <v>0</v>
      </c>
      <c r="U55" s="289"/>
    </row>
    <row r="56" spans="1:24" s="229" customFormat="1" ht="15.75" customHeight="1" x14ac:dyDescent="0.2">
      <c r="A56" s="1837" t="s">
        <v>17</v>
      </c>
      <c r="B56" s="1126" t="s">
        <v>17</v>
      </c>
      <c r="C56" s="1128" t="s">
        <v>425</v>
      </c>
      <c r="D56" s="1381" t="s">
        <v>426</v>
      </c>
      <c r="E56" s="1895" t="s">
        <v>427</v>
      </c>
      <c r="F56" s="1478">
        <v>7</v>
      </c>
      <c r="G56" s="578" t="s">
        <v>226</v>
      </c>
      <c r="H56" s="584">
        <v>0</v>
      </c>
      <c r="I56" s="585">
        <v>0</v>
      </c>
      <c r="J56" s="585">
        <v>0</v>
      </c>
      <c r="K56" s="586"/>
      <c r="L56" s="584">
        <v>0</v>
      </c>
      <c r="M56" s="585">
        <v>0</v>
      </c>
      <c r="N56" s="585">
        <v>0</v>
      </c>
      <c r="O56" s="587">
        <v>0</v>
      </c>
      <c r="P56" s="588">
        <v>0</v>
      </c>
      <c r="Q56" s="588">
        <v>0</v>
      </c>
      <c r="R56" s="1836" t="s">
        <v>428</v>
      </c>
      <c r="S56" s="1294">
        <v>0</v>
      </c>
      <c r="T56" s="1896">
        <v>0</v>
      </c>
      <c r="U56" s="1844"/>
    </row>
    <row r="57" spans="1:24" s="229" customFormat="1" ht="27.75" customHeight="1" x14ac:dyDescent="0.2">
      <c r="A57" s="1838"/>
      <c r="B57" s="1160"/>
      <c r="C57" s="1194"/>
      <c r="D57" s="1382"/>
      <c r="E57" s="1952"/>
      <c r="F57" s="1953"/>
      <c r="G57" s="589" t="s">
        <v>224</v>
      </c>
      <c r="H57" s="584">
        <v>0</v>
      </c>
      <c r="I57" s="585">
        <v>0</v>
      </c>
      <c r="J57" s="585">
        <v>0</v>
      </c>
      <c r="K57" s="590">
        <v>0</v>
      </c>
      <c r="L57" s="584">
        <v>0</v>
      </c>
      <c r="M57" s="585">
        <v>0</v>
      </c>
      <c r="N57" s="585">
        <v>0</v>
      </c>
      <c r="O57" s="587">
        <v>0</v>
      </c>
      <c r="P57" s="588">
        <v>0</v>
      </c>
      <c r="Q57" s="588">
        <v>0</v>
      </c>
      <c r="R57" s="1843"/>
      <c r="S57" s="1295"/>
      <c r="T57" s="1897"/>
      <c r="U57" s="1846"/>
    </row>
    <row r="58" spans="1:24" s="229" customFormat="1" ht="16.5" customHeight="1" x14ac:dyDescent="0.2">
      <c r="A58" s="1951"/>
      <c r="B58" s="1141"/>
      <c r="C58" s="1142"/>
      <c r="D58" s="1301"/>
      <c r="E58" s="1861"/>
      <c r="F58" s="1954"/>
      <c r="G58" s="580" t="s">
        <v>13</v>
      </c>
      <c r="H58" s="581">
        <f>H57</f>
        <v>0</v>
      </c>
      <c r="I58" s="282">
        <f>I57</f>
        <v>0</v>
      </c>
      <c r="J58" s="282">
        <f>J57</f>
        <v>0</v>
      </c>
      <c r="K58" s="582">
        <f>K57</f>
        <v>0</v>
      </c>
      <c r="L58" s="280">
        <f t="shared" ref="L58:Q58" si="20">L56+L57</f>
        <v>0</v>
      </c>
      <c r="M58" s="282">
        <f t="shared" si="20"/>
        <v>0</v>
      </c>
      <c r="N58" s="282">
        <f t="shared" si="20"/>
        <v>0</v>
      </c>
      <c r="O58" s="591">
        <f t="shared" si="20"/>
        <v>0</v>
      </c>
      <c r="P58" s="581">
        <f t="shared" si="20"/>
        <v>0</v>
      </c>
      <c r="Q58" s="581">
        <f t="shared" si="20"/>
        <v>0</v>
      </c>
      <c r="R58" s="1865"/>
      <c r="S58" s="287">
        <f>SUM(S56)</f>
        <v>0</v>
      </c>
      <c r="T58" s="313">
        <f>SUM(T56)</f>
        <v>0</v>
      </c>
      <c r="U58" s="289"/>
    </row>
    <row r="59" spans="1:24" s="229" customFormat="1" ht="27.75" customHeight="1" x14ac:dyDescent="0.2">
      <c r="A59" s="1950" t="s">
        <v>17</v>
      </c>
      <c r="B59" s="1125" t="s">
        <v>17</v>
      </c>
      <c r="C59" s="1127" t="s">
        <v>41</v>
      </c>
      <c r="D59" s="1302" t="s">
        <v>429</v>
      </c>
      <c r="E59" s="1848" t="s">
        <v>390</v>
      </c>
      <c r="F59" s="1199" t="s">
        <v>430</v>
      </c>
      <c r="G59" s="578" t="s">
        <v>224</v>
      </c>
      <c r="H59" s="584">
        <v>73.099999999999994</v>
      </c>
      <c r="I59" s="585">
        <v>73.099999999999994</v>
      </c>
      <c r="J59" s="585">
        <v>56.2</v>
      </c>
      <c r="K59" s="586">
        <v>0</v>
      </c>
      <c r="L59" s="592">
        <v>71.400000000000006</v>
      </c>
      <c r="M59" s="587">
        <v>71.400000000000006</v>
      </c>
      <c r="N59" s="587">
        <v>56.2</v>
      </c>
      <c r="O59" s="587">
        <v>0</v>
      </c>
      <c r="P59" s="588">
        <v>73.8</v>
      </c>
      <c r="Q59" s="588">
        <v>80</v>
      </c>
      <c r="R59" s="1121" t="s">
        <v>431</v>
      </c>
      <c r="S59" s="307">
        <v>8</v>
      </c>
      <c r="T59" s="291">
        <v>10</v>
      </c>
      <c r="U59" s="393"/>
      <c r="V59" s="593"/>
      <c r="W59" s="593"/>
      <c r="X59" s="593"/>
    </row>
    <row r="60" spans="1:24" s="229" customFormat="1" ht="27.75" customHeight="1" x14ac:dyDescent="0.2">
      <c r="A60" s="1837"/>
      <c r="B60" s="1126"/>
      <c r="C60" s="1128"/>
      <c r="D60" s="1381"/>
      <c r="E60" s="1839"/>
      <c r="F60" s="1478"/>
      <c r="G60" s="594" t="s">
        <v>73</v>
      </c>
      <c r="H60" s="595">
        <v>0.5</v>
      </c>
      <c r="I60" s="596">
        <v>0.5</v>
      </c>
      <c r="J60" s="596">
        <v>0.4</v>
      </c>
      <c r="K60" s="597"/>
      <c r="L60" s="598">
        <v>0.5</v>
      </c>
      <c r="M60" s="599">
        <v>0.5</v>
      </c>
      <c r="N60" s="599">
        <v>0.4</v>
      </c>
      <c r="O60" s="599"/>
      <c r="P60" s="600"/>
      <c r="Q60" s="600"/>
      <c r="R60" s="1122"/>
      <c r="S60" s="601"/>
      <c r="T60" s="291"/>
      <c r="U60" s="393"/>
      <c r="V60" s="593"/>
      <c r="W60" s="593"/>
      <c r="X60" s="593"/>
    </row>
    <row r="61" spans="1:24" s="229" customFormat="1" ht="16.5" customHeight="1" x14ac:dyDescent="0.2">
      <c r="A61" s="1837"/>
      <c r="B61" s="1126"/>
      <c r="C61" s="1128"/>
      <c r="D61" s="1381"/>
      <c r="E61" s="1839"/>
      <c r="F61" s="1478"/>
      <c r="G61" s="602" t="s">
        <v>13</v>
      </c>
      <c r="H61" s="603">
        <f>H59+H60</f>
        <v>73.599999999999994</v>
      </c>
      <c r="I61" s="604">
        <f>I59+I60</f>
        <v>73.599999999999994</v>
      </c>
      <c r="J61" s="604">
        <f>J59+J60</f>
        <v>56.6</v>
      </c>
      <c r="K61" s="605">
        <f t="shared" ref="K61:Q61" si="21">K59</f>
        <v>0</v>
      </c>
      <c r="L61" s="603">
        <f>L59+L60</f>
        <v>71.900000000000006</v>
      </c>
      <c r="M61" s="604">
        <f>M59+M60</f>
        <v>71.900000000000006</v>
      </c>
      <c r="N61" s="604">
        <f>N59+N60</f>
        <v>56.6</v>
      </c>
      <c r="O61" s="606">
        <f t="shared" si="21"/>
        <v>0</v>
      </c>
      <c r="P61" s="607">
        <f t="shared" si="21"/>
        <v>73.8</v>
      </c>
      <c r="Q61" s="607">
        <f t="shared" si="21"/>
        <v>80</v>
      </c>
      <c r="R61" s="1122"/>
      <c r="S61" s="608">
        <f>S59</f>
        <v>8</v>
      </c>
      <c r="T61" s="313">
        <f>T59</f>
        <v>10</v>
      </c>
      <c r="U61" s="289"/>
    </row>
    <row r="62" spans="1:24" s="229" customFormat="1" ht="27.75" hidden="1" customHeight="1" outlineLevel="1" x14ac:dyDescent="0.2">
      <c r="A62" s="1950" t="s">
        <v>17</v>
      </c>
      <c r="B62" s="1125" t="s">
        <v>17</v>
      </c>
      <c r="C62" s="1127" t="s">
        <v>432</v>
      </c>
      <c r="D62" s="1302" t="s">
        <v>429</v>
      </c>
      <c r="E62" s="1848" t="s">
        <v>390</v>
      </c>
      <c r="F62" s="1199">
        <v>14</v>
      </c>
      <c r="G62" s="589" t="s">
        <v>224</v>
      </c>
      <c r="H62" s="609">
        <v>10044</v>
      </c>
      <c r="I62" s="610">
        <v>10044</v>
      </c>
      <c r="J62" s="610">
        <v>7668</v>
      </c>
      <c r="K62" s="590"/>
      <c r="L62" s="584">
        <v>8789</v>
      </c>
      <c r="M62" s="585">
        <v>8789</v>
      </c>
      <c r="N62" s="585">
        <v>6710</v>
      </c>
      <c r="O62" s="611"/>
      <c r="P62" s="612">
        <v>11551</v>
      </c>
      <c r="Q62" s="612">
        <v>12706</v>
      </c>
      <c r="R62" s="1121" t="s">
        <v>431</v>
      </c>
      <c r="S62" s="325">
        <v>2</v>
      </c>
      <c r="T62" s="326">
        <v>2</v>
      </c>
      <c r="U62" s="613"/>
    </row>
    <row r="63" spans="1:24" s="229" customFormat="1" ht="16.5" hidden="1" customHeight="1" outlineLevel="1" x14ac:dyDescent="0.2">
      <c r="A63" s="1837"/>
      <c r="B63" s="1126"/>
      <c r="C63" s="1128"/>
      <c r="D63" s="1381"/>
      <c r="E63" s="1839"/>
      <c r="F63" s="1478"/>
      <c r="G63" s="602" t="s">
        <v>13</v>
      </c>
      <c r="H63" s="603">
        <f t="shared" ref="H63:Q63" si="22">H62</f>
        <v>10044</v>
      </c>
      <c r="I63" s="604">
        <f t="shared" si="22"/>
        <v>10044</v>
      </c>
      <c r="J63" s="604">
        <f t="shared" si="22"/>
        <v>7668</v>
      </c>
      <c r="K63" s="605">
        <f t="shared" si="22"/>
        <v>0</v>
      </c>
      <c r="L63" s="603">
        <f t="shared" si="22"/>
        <v>8789</v>
      </c>
      <c r="M63" s="604">
        <f t="shared" si="22"/>
        <v>8789</v>
      </c>
      <c r="N63" s="604">
        <f t="shared" si="22"/>
        <v>6710</v>
      </c>
      <c r="O63" s="606">
        <f t="shared" si="22"/>
        <v>0</v>
      </c>
      <c r="P63" s="607">
        <f t="shared" si="22"/>
        <v>11551</v>
      </c>
      <c r="Q63" s="607">
        <f t="shared" si="22"/>
        <v>12706</v>
      </c>
      <c r="R63" s="1122"/>
      <c r="S63" s="608">
        <f>S62</f>
        <v>2</v>
      </c>
      <c r="T63" s="614">
        <f>T62</f>
        <v>2</v>
      </c>
      <c r="U63" s="613"/>
    </row>
    <row r="64" spans="1:24" s="229" customFormat="1" ht="27.75" hidden="1" customHeight="1" outlineLevel="1" x14ac:dyDescent="0.2">
      <c r="A64" s="1950" t="s">
        <v>17</v>
      </c>
      <c r="B64" s="1125" t="s">
        <v>17</v>
      </c>
      <c r="C64" s="1127" t="s">
        <v>433</v>
      </c>
      <c r="D64" s="1302" t="s">
        <v>429</v>
      </c>
      <c r="E64" s="1848" t="s">
        <v>390</v>
      </c>
      <c r="F64" s="1199">
        <v>15</v>
      </c>
      <c r="G64" s="589" t="s">
        <v>224</v>
      </c>
      <c r="H64" s="609">
        <v>6696</v>
      </c>
      <c r="I64" s="610">
        <v>6696</v>
      </c>
      <c r="J64" s="610">
        <v>5112</v>
      </c>
      <c r="K64" s="590"/>
      <c r="L64" s="584">
        <v>6138</v>
      </c>
      <c r="M64" s="585">
        <v>6138</v>
      </c>
      <c r="N64" s="585">
        <v>4686</v>
      </c>
      <c r="O64" s="611"/>
      <c r="P64" s="612">
        <v>8036</v>
      </c>
      <c r="Q64" s="612">
        <v>8840</v>
      </c>
      <c r="R64" s="1121" t="s">
        <v>431</v>
      </c>
      <c r="S64" s="325">
        <v>1</v>
      </c>
      <c r="T64" s="326">
        <v>1</v>
      </c>
      <c r="U64" s="613"/>
    </row>
    <row r="65" spans="1:24" s="229" customFormat="1" ht="16.5" hidden="1" customHeight="1" outlineLevel="1" x14ac:dyDescent="0.2">
      <c r="A65" s="1837"/>
      <c r="B65" s="1126"/>
      <c r="C65" s="1128"/>
      <c r="D65" s="1381"/>
      <c r="E65" s="1839"/>
      <c r="F65" s="1478"/>
      <c r="G65" s="602" t="s">
        <v>13</v>
      </c>
      <c r="H65" s="603">
        <f t="shared" ref="H65:Q65" si="23">H64</f>
        <v>6696</v>
      </c>
      <c r="I65" s="604">
        <f t="shared" si="23"/>
        <v>6696</v>
      </c>
      <c r="J65" s="604">
        <f t="shared" si="23"/>
        <v>5112</v>
      </c>
      <c r="K65" s="605">
        <f t="shared" si="23"/>
        <v>0</v>
      </c>
      <c r="L65" s="603">
        <f t="shared" si="23"/>
        <v>6138</v>
      </c>
      <c r="M65" s="604">
        <f t="shared" si="23"/>
        <v>6138</v>
      </c>
      <c r="N65" s="604">
        <f t="shared" si="23"/>
        <v>4686</v>
      </c>
      <c r="O65" s="606">
        <f t="shared" si="23"/>
        <v>0</v>
      </c>
      <c r="P65" s="607">
        <f t="shared" si="23"/>
        <v>8036</v>
      </c>
      <c r="Q65" s="607">
        <f t="shared" si="23"/>
        <v>8840</v>
      </c>
      <c r="R65" s="1122"/>
      <c r="S65" s="608">
        <f>S64</f>
        <v>1</v>
      </c>
      <c r="T65" s="614">
        <f>T64</f>
        <v>1</v>
      </c>
      <c r="U65" s="613"/>
    </row>
    <row r="66" spans="1:24" s="229" customFormat="1" ht="27.75" hidden="1" customHeight="1" outlineLevel="1" x14ac:dyDescent="0.2">
      <c r="A66" s="1950" t="s">
        <v>17</v>
      </c>
      <c r="B66" s="1125" t="s">
        <v>17</v>
      </c>
      <c r="C66" s="1127" t="s">
        <v>434</v>
      </c>
      <c r="D66" s="1302" t="s">
        <v>429</v>
      </c>
      <c r="E66" s="1848" t="s">
        <v>390</v>
      </c>
      <c r="F66" s="1199">
        <v>16</v>
      </c>
      <c r="G66" s="589" t="s">
        <v>224</v>
      </c>
      <c r="H66" s="609">
        <v>3348</v>
      </c>
      <c r="I66" s="610">
        <v>3348</v>
      </c>
      <c r="J66" s="610">
        <v>2556</v>
      </c>
      <c r="K66" s="590"/>
      <c r="L66" s="584">
        <v>3348</v>
      </c>
      <c r="M66" s="585">
        <v>3348</v>
      </c>
      <c r="N66" s="585">
        <v>2556</v>
      </c>
      <c r="O66" s="611"/>
      <c r="P66" s="612">
        <v>3350</v>
      </c>
      <c r="Q66" s="612">
        <v>3350</v>
      </c>
      <c r="R66" s="1121" t="s">
        <v>431</v>
      </c>
      <c r="S66" s="325">
        <v>1</v>
      </c>
      <c r="T66" s="326">
        <v>1</v>
      </c>
      <c r="U66" s="613"/>
    </row>
    <row r="67" spans="1:24" s="229" customFormat="1" ht="16.5" hidden="1" customHeight="1" outlineLevel="1" x14ac:dyDescent="0.2">
      <c r="A67" s="1837"/>
      <c r="B67" s="1126"/>
      <c r="C67" s="1128"/>
      <c r="D67" s="1381"/>
      <c r="E67" s="1839"/>
      <c r="F67" s="1478"/>
      <c r="G67" s="602" t="s">
        <v>13</v>
      </c>
      <c r="H67" s="603">
        <f t="shared" ref="H67:Q67" si="24">H66</f>
        <v>3348</v>
      </c>
      <c r="I67" s="604">
        <f t="shared" si="24"/>
        <v>3348</v>
      </c>
      <c r="J67" s="604">
        <f t="shared" si="24"/>
        <v>2556</v>
      </c>
      <c r="K67" s="605">
        <f t="shared" si="24"/>
        <v>0</v>
      </c>
      <c r="L67" s="603">
        <f t="shared" si="24"/>
        <v>3348</v>
      </c>
      <c r="M67" s="604">
        <f t="shared" si="24"/>
        <v>3348</v>
      </c>
      <c r="N67" s="604">
        <f t="shared" si="24"/>
        <v>2556</v>
      </c>
      <c r="O67" s="606">
        <f t="shared" si="24"/>
        <v>0</v>
      </c>
      <c r="P67" s="607">
        <f t="shared" si="24"/>
        <v>3350</v>
      </c>
      <c r="Q67" s="607">
        <f t="shared" si="24"/>
        <v>3350</v>
      </c>
      <c r="R67" s="1122"/>
      <c r="S67" s="608">
        <f>S66</f>
        <v>1</v>
      </c>
      <c r="T67" s="614">
        <f>T66</f>
        <v>1</v>
      </c>
      <c r="U67" s="613"/>
    </row>
    <row r="68" spans="1:24" s="229" customFormat="1" ht="27.75" hidden="1" customHeight="1" outlineLevel="1" x14ac:dyDescent="0.2">
      <c r="A68" s="1950" t="s">
        <v>17</v>
      </c>
      <c r="B68" s="1125" t="s">
        <v>17</v>
      </c>
      <c r="C68" s="1127" t="s">
        <v>435</v>
      </c>
      <c r="D68" s="1302" t="s">
        <v>429</v>
      </c>
      <c r="E68" s="1848" t="s">
        <v>390</v>
      </c>
      <c r="F68" s="1199">
        <v>17</v>
      </c>
      <c r="G68" s="589" t="s">
        <v>224</v>
      </c>
      <c r="H68" s="609">
        <v>6700</v>
      </c>
      <c r="I68" s="610">
        <v>6700</v>
      </c>
      <c r="J68" s="610">
        <v>5100</v>
      </c>
      <c r="K68" s="590"/>
      <c r="L68" s="584">
        <v>6140</v>
      </c>
      <c r="M68" s="585">
        <v>6140</v>
      </c>
      <c r="N68" s="585">
        <v>4688</v>
      </c>
      <c r="O68" s="611"/>
      <c r="P68" s="612">
        <v>7400</v>
      </c>
      <c r="Q68" s="612">
        <v>8100</v>
      </c>
      <c r="R68" s="1121" t="s">
        <v>431</v>
      </c>
      <c r="S68" s="325">
        <v>1</v>
      </c>
      <c r="T68" s="326">
        <v>1</v>
      </c>
      <c r="U68" s="613"/>
    </row>
    <row r="69" spans="1:24" s="229" customFormat="1" ht="16.5" hidden="1" customHeight="1" outlineLevel="1" x14ac:dyDescent="0.2">
      <c r="A69" s="1837"/>
      <c r="B69" s="1126"/>
      <c r="C69" s="1128"/>
      <c r="D69" s="1381"/>
      <c r="E69" s="1839"/>
      <c r="F69" s="1478"/>
      <c r="G69" s="602" t="s">
        <v>13</v>
      </c>
      <c r="H69" s="603">
        <f t="shared" ref="H69:Q69" si="25">H68</f>
        <v>6700</v>
      </c>
      <c r="I69" s="604">
        <f t="shared" si="25"/>
        <v>6700</v>
      </c>
      <c r="J69" s="604">
        <f t="shared" si="25"/>
        <v>5100</v>
      </c>
      <c r="K69" s="605">
        <f t="shared" si="25"/>
        <v>0</v>
      </c>
      <c r="L69" s="603">
        <f t="shared" si="25"/>
        <v>6140</v>
      </c>
      <c r="M69" s="604">
        <f t="shared" si="25"/>
        <v>6140</v>
      </c>
      <c r="N69" s="604">
        <f t="shared" si="25"/>
        <v>4688</v>
      </c>
      <c r="O69" s="606">
        <f t="shared" si="25"/>
        <v>0</v>
      </c>
      <c r="P69" s="607">
        <f t="shared" si="25"/>
        <v>7400</v>
      </c>
      <c r="Q69" s="607">
        <f t="shared" si="25"/>
        <v>8100</v>
      </c>
      <c r="R69" s="1122"/>
      <c r="S69" s="608">
        <f>S68</f>
        <v>1</v>
      </c>
      <c r="T69" s="614">
        <f>T68</f>
        <v>1</v>
      </c>
      <c r="U69" s="613"/>
    </row>
    <row r="70" spans="1:24" s="229" customFormat="1" ht="27.75" hidden="1" customHeight="1" outlineLevel="1" x14ac:dyDescent="0.2">
      <c r="A70" s="1950" t="s">
        <v>17</v>
      </c>
      <c r="B70" s="1125" t="s">
        <v>17</v>
      </c>
      <c r="C70" s="1127" t="s">
        <v>436</v>
      </c>
      <c r="D70" s="1302" t="s">
        <v>429</v>
      </c>
      <c r="E70" s="1848" t="s">
        <v>390</v>
      </c>
      <c r="F70" s="1199">
        <v>18</v>
      </c>
      <c r="G70" s="589" t="s">
        <v>224</v>
      </c>
      <c r="H70" s="609">
        <v>13315</v>
      </c>
      <c r="I70" s="610">
        <v>13315</v>
      </c>
      <c r="J70" s="610">
        <v>10166</v>
      </c>
      <c r="K70" s="590"/>
      <c r="L70" s="584">
        <v>12700</v>
      </c>
      <c r="M70" s="585">
        <v>12700</v>
      </c>
      <c r="N70" s="585">
        <v>10000</v>
      </c>
      <c r="O70" s="611"/>
      <c r="P70" s="612">
        <v>14000</v>
      </c>
      <c r="Q70" s="612">
        <v>14000</v>
      </c>
      <c r="R70" s="1121" t="s">
        <v>431</v>
      </c>
      <c r="S70" s="325">
        <v>2</v>
      </c>
      <c r="T70" s="326">
        <v>2</v>
      </c>
      <c r="U70" s="613"/>
    </row>
    <row r="71" spans="1:24" s="229" customFormat="1" ht="16.5" hidden="1" customHeight="1" outlineLevel="1" x14ac:dyDescent="0.2">
      <c r="A71" s="1837"/>
      <c r="B71" s="1126"/>
      <c r="C71" s="1128"/>
      <c r="D71" s="1381"/>
      <c r="E71" s="1839"/>
      <c r="F71" s="1478"/>
      <c r="G71" s="602" t="s">
        <v>13</v>
      </c>
      <c r="H71" s="603">
        <f t="shared" ref="H71:Q71" si="26">H70</f>
        <v>13315</v>
      </c>
      <c r="I71" s="604">
        <f t="shared" si="26"/>
        <v>13315</v>
      </c>
      <c r="J71" s="604">
        <f t="shared" si="26"/>
        <v>10166</v>
      </c>
      <c r="K71" s="605">
        <f t="shared" si="26"/>
        <v>0</v>
      </c>
      <c r="L71" s="603">
        <f t="shared" si="26"/>
        <v>12700</v>
      </c>
      <c r="M71" s="604">
        <f t="shared" si="26"/>
        <v>12700</v>
      </c>
      <c r="N71" s="604">
        <f t="shared" si="26"/>
        <v>10000</v>
      </c>
      <c r="O71" s="606">
        <f t="shared" si="26"/>
        <v>0</v>
      </c>
      <c r="P71" s="607">
        <f t="shared" si="26"/>
        <v>14000</v>
      </c>
      <c r="Q71" s="607">
        <f t="shared" si="26"/>
        <v>14000</v>
      </c>
      <c r="R71" s="1122"/>
      <c r="S71" s="608">
        <f>S70</f>
        <v>2</v>
      </c>
      <c r="T71" s="614">
        <f>T70</f>
        <v>2</v>
      </c>
      <c r="U71" s="613"/>
    </row>
    <row r="72" spans="1:24" s="229" customFormat="1" ht="27.75" hidden="1" customHeight="1" outlineLevel="1" x14ac:dyDescent="0.2">
      <c r="A72" s="1950" t="s">
        <v>17</v>
      </c>
      <c r="B72" s="1125" t="s">
        <v>17</v>
      </c>
      <c r="C72" s="1127" t="s">
        <v>437</v>
      </c>
      <c r="D72" s="1302" t="s">
        <v>429</v>
      </c>
      <c r="E72" s="1848" t="s">
        <v>390</v>
      </c>
      <c r="F72" s="1199">
        <v>19</v>
      </c>
      <c r="G72" s="589" t="s">
        <v>224</v>
      </c>
      <c r="H72" s="609">
        <v>6700</v>
      </c>
      <c r="I72" s="610">
        <v>6700</v>
      </c>
      <c r="J72" s="610">
        <v>5100</v>
      </c>
      <c r="K72" s="590"/>
      <c r="L72" s="584">
        <v>5580</v>
      </c>
      <c r="M72" s="585">
        <v>5580</v>
      </c>
      <c r="N72" s="585">
        <v>4260</v>
      </c>
      <c r="O72" s="611"/>
      <c r="P72" s="612">
        <v>7400</v>
      </c>
      <c r="Q72" s="612">
        <v>8100</v>
      </c>
      <c r="R72" s="1121" t="s">
        <v>431</v>
      </c>
      <c r="S72" s="325">
        <v>1</v>
      </c>
      <c r="T72" s="326">
        <v>1</v>
      </c>
      <c r="U72" s="613"/>
    </row>
    <row r="73" spans="1:24" s="229" customFormat="1" ht="16.5" hidden="1" customHeight="1" outlineLevel="1" x14ac:dyDescent="0.2">
      <c r="A73" s="1837"/>
      <c r="B73" s="1126"/>
      <c r="C73" s="1128"/>
      <c r="D73" s="1381"/>
      <c r="E73" s="1839"/>
      <c r="F73" s="1478"/>
      <c r="G73" s="602" t="s">
        <v>13</v>
      </c>
      <c r="H73" s="603">
        <f t="shared" ref="H73:Q73" si="27">H72</f>
        <v>6700</v>
      </c>
      <c r="I73" s="604">
        <f t="shared" si="27"/>
        <v>6700</v>
      </c>
      <c r="J73" s="604">
        <f t="shared" si="27"/>
        <v>5100</v>
      </c>
      <c r="K73" s="605">
        <f t="shared" si="27"/>
        <v>0</v>
      </c>
      <c r="L73" s="603">
        <f t="shared" si="27"/>
        <v>5580</v>
      </c>
      <c r="M73" s="604">
        <f t="shared" si="27"/>
        <v>5580</v>
      </c>
      <c r="N73" s="604">
        <f t="shared" si="27"/>
        <v>4260</v>
      </c>
      <c r="O73" s="606">
        <f t="shared" si="27"/>
        <v>0</v>
      </c>
      <c r="P73" s="607">
        <f t="shared" si="27"/>
        <v>7400</v>
      </c>
      <c r="Q73" s="607">
        <f t="shared" si="27"/>
        <v>8100</v>
      </c>
      <c r="R73" s="1122"/>
      <c r="S73" s="608">
        <f>S72</f>
        <v>1</v>
      </c>
      <c r="T73" s="614">
        <f>T72</f>
        <v>1</v>
      </c>
      <c r="U73" s="613"/>
    </row>
    <row r="74" spans="1:24" s="229" customFormat="1" ht="27.75" hidden="1" customHeight="1" outlineLevel="1" x14ac:dyDescent="0.2">
      <c r="A74" s="1950" t="s">
        <v>17</v>
      </c>
      <c r="B74" s="1125" t="s">
        <v>17</v>
      </c>
      <c r="C74" s="1127" t="s">
        <v>438</v>
      </c>
      <c r="D74" s="1302" t="s">
        <v>429</v>
      </c>
      <c r="E74" s="1848" t="s">
        <v>390</v>
      </c>
      <c r="F74" s="1199">
        <v>20</v>
      </c>
      <c r="G74" s="589" t="s">
        <v>224</v>
      </c>
      <c r="H74" s="609">
        <v>6696</v>
      </c>
      <c r="I74" s="610">
        <v>6696</v>
      </c>
      <c r="J74" s="610">
        <v>5112</v>
      </c>
      <c r="K74" s="590"/>
      <c r="L74" s="584">
        <v>6696</v>
      </c>
      <c r="M74" s="585">
        <v>6696</v>
      </c>
      <c r="N74" s="585">
        <v>5112</v>
      </c>
      <c r="O74" s="611"/>
      <c r="P74" s="612">
        <v>6696</v>
      </c>
      <c r="Q74" s="612">
        <v>6696</v>
      </c>
      <c r="R74" s="1121" t="s">
        <v>431</v>
      </c>
      <c r="S74" s="325">
        <v>1</v>
      </c>
      <c r="T74" s="326">
        <v>1</v>
      </c>
      <c r="U74" s="613"/>
    </row>
    <row r="75" spans="1:24" s="229" customFormat="1" ht="16.5" hidden="1" customHeight="1" outlineLevel="1" x14ac:dyDescent="0.2">
      <c r="A75" s="1837"/>
      <c r="B75" s="1126"/>
      <c r="C75" s="1128"/>
      <c r="D75" s="1381"/>
      <c r="E75" s="1839"/>
      <c r="F75" s="1478"/>
      <c r="G75" s="602" t="s">
        <v>13</v>
      </c>
      <c r="H75" s="603">
        <f t="shared" ref="H75:Q75" si="28">H74</f>
        <v>6696</v>
      </c>
      <c r="I75" s="604">
        <f t="shared" si="28"/>
        <v>6696</v>
      </c>
      <c r="J75" s="604">
        <f t="shared" si="28"/>
        <v>5112</v>
      </c>
      <c r="K75" s="605">
        <f t="shared" si="28"/>
        <v>0</v>
      </c>
      <c r="L75" s="603">
        <f t="shared" si="28"/>
        <v>6696</v>
      </c>
      <c r="M75" s="604">
        <f t="shared" si="28"/>
        <v>6696</v>
      </c>
      <c r="N75" s="604">
        <f t="shared" si="28"/>
        <v>5112</v>
      </c>
      <c r="O75" s="606">
        <f t="shared" si="28"/>
        <v>0</v>
      </c>
      <c r="P75" s="607">
        <f t="shared" si="28"/>
        <v>6696</v>
      </c>
      <c r="Q75" s="607">
        <f t="shared" si="28"/>
        <v>6696</v>
      </c>
      <c r="R75" s="1122"/>
      <c r="S75" s="608">
        <f>S74</f>
        <v>1</v>
      </c>
      <c r="T75" s="614">
        <f>T74</f>
        <v>1</v>
      </c>
      <c r="U75" s="613"/>
    </row>
    <row r="76" spans="1:24" s="229" customFormat="1" ht="27.75" hidden="1" customHeight="1" outlineLevel="1" x14ac:dyDescent="0.2">
      <c r="A76" s="1950" t="s">
        <v>17</v>
      </c>
      <c r="B76" s="1125" t="s">
        <v>17</v>
      </c>
      <c r="C76" s="1127" t="s">
        <v>439</v>
      </c>
      <c r="D76" s="1302" t="s">
        <v>429</v>
      </c>
      <c r="E76" s="1848" t="s">
        <v>390</v>
      </c>
      <c r="F76" s="1199">
        <v>21</v>
      </c>
      <c r="G76" s="589" t="s">
        <v>224</v>
      </c>
      <c r="H76" s="609">
        <v>6696</v>
      </c>
      <c r="I76" s="610">
        <v>6696</v>
      </c>
      <c r="J76" s="610">
        <v>5112</v>
      </c>
      <c r="K76" s="590"/>
      <c r="L76" s="584">
        <v>5828</v>
      </c>
      <c r="M76" s="585">
        <v>5828</v>
      </c>
      <c r="N76" s="585">
        <v>4450</v>
      </c>
      <c r="O76" s="611"/>
      <c r="P76" s="612">
        <v>8035</v>
      </c>
      <c r="Q76" s="612">
        <v>8839</v>
      </c>
      <c r="R76" s="1121" t="s">
        <v>431</v>
      </c>
      <c r="S76" s="325">
        <v>1</v>
      </c>
      <c r="T76" s="326">
        <v>1</v>
      </c>
      <c r="U76" s="613"/>
    </row>
    <row r="77" spans="1:24" s="229" customFormat="1" ht="16.5" hidden="1" customHeight="1" outlineLevel="1" x14ac:dyDescent="0.2">
      <c r="A77" s="1837"/>
      <c r="B77" s="1126"/>
      <c r="C77" s="1128"/>
      <c r="D77" s="1381"/>
      <c r="E77" s="1839"/>
      <c r="F77" s="1478"/>
      <c r="G77" s="602" t="s">
        <v>13</v>
      </c>
      <c r="H77" s="603">
        <f t="shared" ref="H77:Q77" si="29">H76</f>
        <v>6696</v>
      </c>
      <c r="I77" s="604">
        <f t="shared" si="29"/>
        <v>6696</v>
      </c>
      <c r="J77" s="604">
        <f t="shared" si="29"/>
        <v>5112</v>
      </c>
      <c r="K77" s="605">
        <f t="shared" si="29"/>
        <v>0</v>
      </c>
      <c r="L77" s="603">
        <f t="shared" si="29"/>
        <v>5828</v>
      </c>
      <c r="M77" s="604">
        <f t="shared" si="29"/>
        <v>5828</v>
      </c>
      <c r="N77" s="604">
        <f t="shared" si="29"/>
        <v>4450</v>
      </c>
      <c r="O77" s="606">
        <f t="shared" si="29"/>
        <v>0</v>
      </c>
      <c r="P77" s="607">
        <f t="shared" si="29"/>
        <v>8035</v>
      </c>
      <c r="Q77" s="607">
        <f t="shared" si="29"/>
        <v>8839</v>
      </c>
      <c r="R77" s="1122"/>
      <c r="S77" s="608">
        <f>S76</f>
        <v>1</v>
      </c>
      <c r="T77" s="614">
        <f>T76</f>
        <v>1</v>
      </c>
      <c r="U77" s="613"/>
    </row>
    <row r="78" spans="1:24" ht="24" customHeight="1" collapsed="1" x14ac:dyDescent="0.2">
      <c r="A78" s="1950" t="s">
        <v>17</v>
      </c>
      <c r="B78" s="1889" t="s">
        <v>17</v>
      </c>
      <c r="C78" s="1182" t="s">
        <v>42</v>
      </c>
      <c r="D78" s="1302" t="s">
        <v>440</v>
      </c>
      <c r="E78" s="1862" t="s">
        <v>394</v>
      </c>
      <c r="F78" s="1862" t="s">
        <v>378</v>
      </c>
      <c r="G78" s="544" t="s">
        <v>224</v>
      </c>
      <c r="H78" s="325">
        <v>5</v>
      </c>
      <c r="I78" s="326">
        <v>5</v>
      </c>
      <c r="J78" s="326">
        <v>0</v>
      </c>
      <c r="K78" s="393">
        <v>0</v>
      </c>
      <c r="L78" s="325">
        <v>5</v>
      </c>
      <c r="M78" s="326">
        <v>5</v>
      </c>
      <c r="N78" s="326">
        <v>0</v>
      </c>
      <c r="O78" s="291">
        <v>0</v>
      </c>
      <c r="P78" s="391">
        <v>5</v>
      </c>
      <c r="Q78" s="391">
        <v>7</v>
      </c>
      <c r="R78" s="1914" t="s">
        <v>441</v>
      </c>
      <c r="S78" s="325">
        <v>23</v>
      </c>
      <c r="T78" s="291">
        <v>23</v>
      </c>
      <c r="U78" s="615"/>
    </row>
    <row r="79" spans="1:24" ht="21" customHeight="1" x14ac:dyDescent="0.2">
      <c r="A79" s="1950"/>
      <c r="B79" s="1889"/>
      <c r="C79" s="1182"/>
      <c r="D79" s="1302"/>
      <c r="E79" s="1862"/>
      <c r="F79" s="1862"/>
      <c r="G79" s="550" t="s">
        <v>13</v>
      </c>
      <c r="H79" s="287">
        <f>SUM(H78)</f>
        <v>5</v>
      </c>
      <c r="I79" s="288">
        <f t="shared" ref="I79:Q79" si="30">SUM(I78:I78)</f>
        <v>5</v>
      </c>
      <c r="J79" s="288">
        <f t="shared" si="30"/>
        <v>0</v>
      </c>
      <c r="K79" s="289">
        <f t="shared" si="30"/>
        <v>0</v>
      </c>
      <c r="L79" s="287">
        <f t="shared" si="30"/>
        <v>5</v>
      </c>
      <c r="M79" s="288">
        <f t="shared" si="30"/>
        <v>5</v>
      </c>
      <c r="N79" s="288">
        <f t="shared" si="30"/>
        <v>0</v>
      </c>
      <c r="O79" s="313">
        <f t="shared" si="30"/>
        <v>0</v>
      </c>
      <c r="P79" s="567">
        <f t="shared" si="30"/>
        <v>5</v>
      </c>
      <c r="Q79" s="567">
        <f t="shared" si="30"/>
        <v>7</v>
      </c>
      <c r="R79" s="1914"/>
      <c r="S79" s="287">
        <f>SUM(S78:S78)</f>
        <v>23</v>
      </c>
      <c r="T79" s="313">
        <f>SUM(T78:T78)</f>
        <v>23</v>
      </c>
      <c r="U79" s="289"/>
    </row>
    <row r="80" spans="1:24" s="229" customFormat="1" ht="39.75" customHeight="1" x14ac:dyDescent="0.2">
      <c r="A80" s="1950" t="s">
        <v>17</v>
      </c>
      <c r="B80" s="1125" t="s">
        <v>17</v>
      </c>
      <c r="C80" s="1127" t="s">
        <v>43</v>
      </c>
      <c r="D80" s="1302"/>
      <c r="E80" s="1862"/>
      <c r="F80" s="1199"/>
      <c r="G80" s="578" t="s">
        <v>73</v>
      </c>
      <c r="H80" s="584"/>
      <c r="I80" s="585"/>
      <c r="J80" s="585">
        <v>0</v>
      </c>
      <c r="K80" s="586">
        <v>0</v>
      </c>
      <c r="L80" s="584"/>
      <c r="M80" s="585"/>
      <c r="N80" s="585">
        <v>0</v>
      </c>
      <c r="O80" s="587">
        <v>0</v>
      </c>
      <c r="P80" s="588">
        <v>0</v>
      </c>
      <c r="Q80" s="588">
        <v>0</v>
      </c>
      <c r="R80" s="1121" t="s">
        <v>441</v>
      </c>
      <c r="S80" s="307">
        <v>0</v>
      </c>
      <c r="T80" s="291">
        <v>0</v>
      </c>
      <c r="U80" s="393"/>
      <c r="V80" s="593"/>
      <c r="W80" s="593"/>
      <c r="X80" s="593"/>
    </row>
    <row r="81" spans="1:23" s="229" customFormat="1" ht="16.5" customHeight="1" thickBot="1" x14ac:dyDescent="0.25">
      <c r="A81" s="1837"/>
      <c r="B81" s="1126"/>
      <c r="C81" s="1128"/>
      <c r="D81" s="1381"/>
      <c r="E81" s="1895"/>
      <c r="F81" s="1478"/>
      <c r="G81" s="602" t="s">
        <v>13</v>
      </c>
      <c r="H81" s="603">
        <f t="shared" ref="H81:Q81" si="31">H80</f>
        <v>0</v>
      </c>
      <c r="I81" s="604">
        <f t="shared" si="31"/>
        <v>0</v>
      </c>
      <c r="J81" s="604">
        <f t="shared" si="31"/>
        <v>0</v>
      </c>
      <c r="K81" s="605">
        <f t="shared" si="31"/>
        <v>0</v>
      </c>
      <c r="L81" s="603">
        <f t="shared" si="31"/>
        <v>0</v>
      </c>
      <c r="M81" s="604">
        <f t="shared" si="31"/>
        <v>0</v>
      </c>
      <c r="N81" s="604">
        <f t="shared" si="31"/>
        <v>0</v>
      </c>
      <c r="O81" s="606">
        <f t="shared" si="31"/>
        <v>0</v>
      </c>
      <c r="P81" s="607">
        <f t="shared" si="31"/>
        <v>0</v>
      </c>
      <c r="Q81" s="607">
        <f t="shared" si="31"/>
        <v>0</v>
      </c>
      <c r="R81" s="1122"/>
      <c r="S81" s="608">
        <f>S80</f>
        <v>0</v>
      </c>
      <c r="T81" s="416">
        <f>T80</f>
        <v>0</v>
      </c>
      <c r="U81" s="289"/>
    </row>
    <row r="82" spans="1:23" ht="15.75" customHeight="1" thickBot="1" x14ac:dyDescent="0.25">
      <c r="A82" s="533" t="s">
        <v>17</v>
      </c>
      <c r="B82" s="458" t="s">
        <v>17</v>
      </c>
      <c r="C82" s="1114" t="s">
        <v>14</v>
      </c>
      <c r="D82" s="1114"/>
      <c r="E82" s="1114"/>
      <c r="F82" s="1114"/>
      <c r="G82" s="1115"/>
      <c r="H82" s="616">
        <f t="shared" ref="H82:Q82" si="32">SUM(H16,H18,H20,H22,H24,H44,H46,H49,H51,H53,H55,H58,H61,H79,H81)</f>
        <v>5912.5000000000018</v>
      </c>
      <c r="I82" s="617">
        <f t="shared" si="32"/>
        <v>5911.5000000000018</v>
      </c>
      <c r="J82" s="617">
        <f t="shared" si="32"/>
        <v>145.29999999999998</v>
      </c>
      <c r="K82" s="618">
        <f t="shared" si="32"/>
        <v>1</v>
      </c>
      <c r="L82" s="616">
        <f t="shared" si="32"/>
        <v>5792.2</v>
      </c>
      <c r="M82" s="617">
        <f t="shared" si="32"/>
        <v>5791.2</v>
      </c>
      <c r="N82" s="617">
        <f t="shared" si="32"/>
        <v>141.69999999999999</v>
      </c>
      <c r="O82" s="617">
        <f t="shared" si="32"/>
        <v>1</v>
      </c>
      <c r="P82" s="619">
        <f t="shared" si="32"/>
        <v>5825.9000000000005</v>
      </c>
      <c r="Q82" s="620">
        <f t="shared" si="32"/>
        <v>6188.8</v>
      </c>
      <c r="R82" s="621" t="s">
        <v>23</v>
      </c>
      <c r="S82" s="622" t="s">
        <v>442</v>
      </c>
      <c r="T82" s="623" t="s">
        <v>442</v>
      </c>
      <c r="U82" s="624"/>
    </row>
    <row r="83" spans="1:23" ht="17.25" customHeight="1" thickBot="1" x14ac:dyDescent="0.25">
      <c r="A83" s="533" t="s">
        <v>17</v>
      </c>
      <c r="B83" s="458" t="s">
        <v>18</v>
      </c>
      <c r="C83" s="1857" t="s">
        <v>443</v>
      </c>
      <c r="D83" s="1858"/>
      <c r="E83" s="1858"/>
      <c r="F83" s="1858"/>
      <c r="G83" s="1858"/>
      <c r="H83" s="1858"/>
      <c r="I83" s="1858"/>
      <c r="J83" s="1858"/>
      <c r="K83" s="1858"/>
      <c r="L83" s="1858"/>
      <c r="M83" s="1858"/>
      <c r="N83" s="1858"/>
      <c r="O83" s="1858"/>
      <c r="P83" s="1858"/>
      <c r="Q83" s="1858"/>
      <c r="R83" s="1858"/>
      <c r="S83" s="1858"/>
      <c r="T83" s="1858"/>
      <c r="U83" s="1859"/>
    </row>
    <row r="84" spans="1:23" ht="48" customHeight="1" x14ac:dyDescent="0.2">
      <c r="A84" s="1357" t="s">
        <v>17</v>
      </c>
      <c r="B84" s="1360" t="s">
        <v>18</v>
      </c>
      <c r="C84" s="1945" t="s">
        <v>17</v>
      </c>
      <c r="D84" s="1946"/>
      <c r="E84" s="1947" t="s">
        <v>444</v>
      </c>
      <c r="F84" s="1948"/>
      <c r="G84" s="625" t="s">
        <v>413</v>
      </c>
      <c r="H84" s="425">
        <v>0</v>
      </c>
      <c r="I84" s="426">
        <v>0</v>
      </c>
      <c r="J84" s="426">
        <v>0</v>
      </c>
      <c r="K84" s="450">
        <v>0</v>
      </c>
      <c r="L84" s="425">
        <v>0</v>
      </c>
      <c r="M84" s="426">
        <v>0</v>
      </c>
      <c r="N84" s="426">
        <v>0</v>
      </c>
      <c r="O84" s="450">
        <v>0</v>
      </c>
      <c r="P84" s="626">
        <v>0</v>
      </c>
      <c r="Q84" s="626">
        <v>0</v>
      </c>
      <c r="R84" s="1949" t="s">
        <v>445</v>
      </c>
      <c r="S84" s="425">
        <v>0</v>
      </c>
      <c r="T84" s="427">
        <v>0</v>
      </c>
      <c r="U84" s="627"/>
    </row>
    <row r="85" spans="1:23" ht="51" customHeight="1" x14ac:dyDescent="0.2">
      <c r="A85" s="1847"/>
      <c r="B85" s="1125"/>
      <c r="C85" s="1127"/>
      <c r="D85" s="1129"/>
      <c r="E85" s="1145"/>
      <c r="F85" s="1199"/>
      <c r="G85" s="580" t="s">
        <v>13</v>
      </c>
      <c r="H85" s="581">
        <f>SUM(H84)</f>
        <v>0</v>
      </c>
      <c r="I85" s="282">
        <f t="shared" ref="I85:Q85" si="33">SUM(I84)</f>
        <v>0</v>
      </c>
      <c r="J85" s="282">
        <f t="shared" si="33"/>
        <v>0</v>
      </c>
      <c r="K85" s="582">
        <f t="shared" si="33"/>
        <v>0</v>
      </c>
      <c r="L85" s="581">
        <f t="shared" si="33"/>
        <v>0</v>
      </c>
      <c r="M85" s="282">
        <f t="shared" si="33"/>
        <v>0</v>
      </c>
      <c r="N85" s="282">
        <f t="shared" si="33"/>
        <v>0</v>
      </c>
      <c r="O85" s="582">
        <f t="shared" si="33"/>
        <v>0</v>
      </c>
      <c r="P85" s="583">
        <f t="shared" si="33"/>
        <v>0</v>
      </c>
      <c r="Q85" s="583">
        <f t="shared" si="33"/>
        <v>0</v>
      </c>
      <c r="R85" s="1121"/>
      <c r="S85" s="287">
        <f>S84</f>
        <v>0</v>
      </c>
      <c r="T85" s="313">
        <f>T84</f>
        <v>0</v>
      </c>
      <c r="U85" s="289"/>
    </row>
    <row r="86" spans="1:23" ht="35.25" customHeight="1" x14ac:dyDescent="0.2">
      <c r="A86" s="1847" t="s">
        <v>17</v>
      </c>
      <c r="B86" s="1125" t="s">
        <v>18</v>
      </c>
      <c r="C86" s="1127" t="s">
        <v>18</v>
      </c>
      <c r="D86" s="1302" t="s">
        <v>446</v>
      </c>
      <c r="E86" s="1848" t="s">
        <v>447</v>
      </c>
      <c r="F86" s="1199" t="s">
        <v>448</v>
      </c>
      <c r="G86" s="578" t="s">
        <v>413</v>
      </c>
      <c r="H86" s="584">
        <v>183.8</v>
      </c>
      <c r="I86" s="585">
        <v>183.8</v>
      </c>
      <c r="J86" s="585">
        <v>137.1</v>
      </c>
      <c r="K86" s="586">
        <v>0</v>
      </c>
      <c r="L86" s="628">
        <v>183.8</v>
      </c>
      <c r="M86" s="629">
        <v>183.8</v>
      </c>
      <c r="N86" s="630">
        <v>137.1</v>
      </c>
      <c r="O86" s="586">
        <v>0</v>
      </c>
      <c r="P86" s="588">
        <v>174.6</v>
      </c>
      <c r="Q86" s="588">
        <v>335</v>
      </c>
      <c r="R86" s="1121" t="s">
        <v>449</v>
      </c>
      <c r="S86" s="325">
        <v>100</v>
      </c>
      <c r="T86" s="291">
        <v>100</v>
      </c>
      <c r="U86" s="557"/>
      <c r="V86" s="549"/>
      <c r="W86" s="631"/>
    </row>
    <row r="87" spans="1:23" ht="15" customHeight="1" x14ac:dyDescent="0.2">
      <c r="A87" s="1847"/>
      <c r="B87" s="1125"/>
      <c r="C87" s="1127"/>
      <c r="D87" s="1302"/>
      <c r="E87" s="1848"/>
      <c r="F87" s="1199"/>
      <c r="G87" s="580" t="s">
        <v>13</v>
      </c>
      <c r="H87" s="581">
        <f t="shared" ref="H87:Q87" si="34">H86</f>
        <v>183.8</v>
      </c>
      <c r="I87" s="282">
        <f t="shared" si="34"/>
        <v>183.8</v>
      </c>
      <c r="J87" s="282">
        <f t="shared" si="34"/>
        <v>137.1</v>
      </c>
      <c r="K87" s="582">
        <f t="shared" si="34"/>
        <v>0</v>
      </c>
      <c r="L87" s="581">
        <f t="shared" si="34"/>
        <v>183.8</v>
      </c>
      <c r="M87" s="282">
        <f t="shared" si="34"/>
        <v>183.8</v>
      </c>
      <c r="N87" s="282">
        <f t="shared" si="34"/>
        <v>137.1</v>
      </c>
      <c r="O87" s="582">
        <f t="shared" si="34"/>
        <v>0</v>
      </c>
      <c r="P87" s="583">
        <f t="shared" si="34"/>
        <v>174.6</v>
      </c>
      <c r="Q87" s="583">
        <f t="shared" si="34"/>
        <v>335</v>
      </c>
      <c r="R87" s="1121"/>
      <c r="S87" s="287">
        <f>S86</f>
        <v>100</v>
      </c>
      <c r="T87" s="313">
        <f>T86</f>
        <v>100</v>
      </c>
      <c r="U87" s="289"/>
    </row>
    <row r="88" spans="1:23" ht="35.25" hidden="1" customHeight="1" outlineLevel="1" x14ac:dyDescent="0.2">
      <c r="A88" s="1847" t="s">
        <v>17</v>
      </c>
      <c r="B88" s="1125" t="s">
        <v>18</v>
      </c>
      <c r="C88" s="1127" t="s">
        <v>277</v>
      </c>
      <c r="D88" s="1302" t="s">
        <v>446</v>
      </c>
      <c r="E88" s="1848" t="s">
        <v>447</v>
      </c>
      <c r="F88" s="1199">
        <v>14</v>
      </c>
      <c r="G88" s="578" t="s">
        <v>413</v>
      </c>
      <c r="H88" s="584">
        <v>7254</v>
      </c>
      <c r="I88" s="585">
        <v>7254</v>
      </c>
      <c r="J88" s="585">
        <v>5538</v>
      </c>
      <c r="K88" s="586"/>
      <c r="L88" s="632">
        <v>13198</v>
      </c>
      <c r="M88" s="630">
        <v>13198</v>
      </c>
      <c r="N88" s="585">
        <v>10076</v>
      </c>
      <c r="O88" s="586"/>
      <c r="P88" s="588">
        <v>9036</v>
      </c>
      <c r="Q88" s="588">
        <v>9940</v>
      </c>
      <c r="R88" s="1121" t="s">
        <v>449</v>
      </c>
      <c r="S88" s="325">
        <v>100</v>
      </c>
      <c r="T88" s="326">
        <v>100</v>
      </c>
      <c r="U88" s="563"/>
    </row>
    <row r="89" spans="1:23" ht="15" hidden="1" customHeight="1" outlineLevel="1" x14ac:dyDescent="0.2">
      <c r="A89" s="1847"/>
      <c r="B89" s="1125"/>
      <c r="C89" s="1127"/>
      <c r="D89" s="1302"/>
      <c r="E89" s="1848"/>
      <c r="F89" s="1199"/>
      <c r="G89" s="580" t="s">
        <v>13</v>
      </c>
      <c r="H89" s="581">
        <f t="shared" ref="H89:Q89" si="35">H88</f>
        <v>7254</v>
      </c>
      <c r="I89" s="282">
        <f t="shared" si="35"/>
        <v>7254</v>
      </c>
      <c r="J89" s="282">
        <f t="shared" si="35"/>
        <v>5538</v>
      </c>
      <c r="K89" s="582">
        <f t="shared" si="35"/>
        <v>0</v>
      </c>
      <c r="L89" s="581">
        <f t="shared" si="35"/>
        <v>13198</v>
      </c>
      <c r="M89" s="282">
        <f t="shared" si="35"/>
        <v>13198</v>
      </c>
      <c r="N89" s="282">
        <f t="shared" si="35"/>
        <v>10076</v>
      </c>
      <c r="O89" s="582">
        <f t="shared" si="35"/>
        <v>0</v>
      </c>
      <c r="P89" s="583">
        <f t="shared" si="35"/>
        <v>9036</v>
      </c>
      <c r="Q89" s="583">
        <f t="shared" si="35"/>
        <v>9940</v>
      </c>
      <c r="R89" s="1121"/>
      <c r="S89" s="287">
        <f>S88</f>
        <v>100</v>
      </c>
      <c r="T89" s="288">
        <f>T88</f>
        <v>100</v>
      </c>
      <c r="U89" s="563"/>
    </row>
    <row r="90" spans="1:23" ht="35.25" hidden="1" customHeight="1" outlineLevel="1" x14ac:dyDescent="0.2">
      <c r="A90" s="1847" t="s">
        <v>17</v>
      </c>
      <c r="B90" s="1125" t="s">
        <v>18</v>
      </c>
      <c r="C90" s="1127" t="s">
        <v>282</v>
      </c>
      <c r="D90" s="1302" t="s">
        <v>446</v>
      </c>
      <c r="E90" s="1848" t="s">
        <v>447</v>
      </c>
      <c r="F90" s="1199">
        <v>15</v>
      </c>
      <c r="G90" s="578" t="s">
        <v>413</v>
      </c>
      <c r="H90" s="584">
        <v>7254</v>
      </c>
      <c r="I90" s="585">
        <v>7254</v>
      </c>
      <c r="J90" s="585">
        <v>5538</v>
      </c>
      <c r="K90" s="586"/>
      <c r="L90" s="632">
        <v>9067</v>
      </c>
      <c r="M90" s="630">
        <v>9067</v>
      </c>
      <c r="N90" s="585">
        <v>6923</v>
      </c>
      <c r="O90" s="586"/>
      <c r="P90" s="588">
        <v>8705</v>
      </c>
      <c r="Q90" s="588">
        <v>9576</v>
      </c>
      <c r="R90" s="1121" t="s">
        <v>449</v>
      </c>
      <c r="S90" s="325">
        <v>100</v>
      </c>
      <c r="T90" s="326">
        <v>100</v>
      </c>
      <c r="U90" s="563"/>
    </row>
    <row r="91" spans="1:23" ht="15" hidden="1" customHeight="1" outlineLevel="1" x14ac:dyDescent="0.2">
      <c r="A91" s="1847"/>
      <c r="B91" s="1125"/>
      <c r="C91" s="1127"/>
      <c r="D91" s="1302"/>
      <c r="E91" s="1848"/>
      <c r="F91" s="1199"/>
      <c r="G91" s="580" t="s">
        <v>13</v>
      </c>
      <c r="H91" s="581">
        <f t="shared" ref="H91:Q91" si="36">H90</f>
        <v>7254</v>
      </c>
      <c r="I91" s="282">
        <f t="shared" si="36"/>
        <v>7254</v>
      </c>
      <c r="J91" s="282">
        <f t="shared" si="36"/>
        <v>5538</v>
      </c>
      <c r="K91" s="582">
        <f t="shared" si="36"/>
        <v>0</v>
      </c>
      <c r="L91" s="581">
        <f t="shared" si="36"/>
        <v>9067</v>
      </c>
      <c r="M91" s="282">
        <f t="shared" si="36"/>
        <v>9067</v>
      </c>
      <c r="N91" s="282">
        <f t="shared" si="36"/>
        <v>6923</v>
      </c>
      <c r="O91" s="582">
        <f t="shared" si="36"/>
        <v>0</v>
      </c>
      <c r="P91" s="583">
        <f t="shared" si="36"/>
        <v>8705</v>
      </c>
      <c r="Q91" s="583">
        <f t="shared" si="36"/>
        <v>9576</v>
      </c>
      <c r="R91" s="1121"/>
      <c r="S91" s="287">
        <f>S90</f>
        <v>100</v>
      </c>
      <c r="T91" s="288">
        <f>T90</f>
        <v>100</v>
      </c>
      <c r="U91" s="563"/>
    </row>
    <row r="92" spans="1:23" ht="35.25" hidden="1" customHeight="1" outlineLevel="1" x14ac:dyDescent="0.2">
      <c r="A92" s="1847" t="s">
        <v>17</v>
      </c>
      <c r="B92" s="1125" t="s">
        <v>18</v>
      </c>
      <c r="C92" s="1127" t="s">
        <v>286</v>
      </c>
      <c r="D92" s="1302" t="s">
        <v>446</v>
      </c>
      <c r="E92" s="1848" t="s">
        <v>447</v>
      </c>
      <c r="F92" s="1199">
        <v>16</v>
      </c>
      <c r="G92" s="578" t="s">
        <v>413</v>
      </c>
      <c r="H92" s="584">
        <v>7254</v>
      </c>
      <c r="I92" s="585">
        <v>7254</v>
      </c>
      <c r="J92" s="585">
        <v>5538</v>
      </c>
      <c r="K92" s="586"/>
      <c r="L92" s="632">
        <v>9067</v>
      </c>
      <c r="M92" s="630">
        <v>9067</v>
      </c>
      <c r="N92" s="585">
        <v>6923</v>
      </c>
      <c r="O92" s="586"/>
      <c r="P92" s="588">
        <v>7260</v>
      </c>
      <c r="Q92" s="588">
        <v>7260</v>
      </c>
      <c r="R92" s="1121" t="s">
        <v>449</v>
      </c>
      <c r="S92" s="325">
        <v>100</v>
      </c>
      <c r="T92" s="326">
        <v>100</v>
      </c>
      <c r="U92" s="563"/>
    </row>
    <row r="93" spans="1:23" ht="15" hidden="1" customHeight="1" outlineLevel="1" x14ac:dyDescent="0.2">
      <c r="A93" s="1847"/>
      <c r="B93" s="1125"/>
      <c r="C93" s="1127"/>
      <c r="D93" s="1302"/>
      <c r="E93" s="1848"/>
      <c r="F93" s="1199"/>
      <c r="G93" s="580" t="s">
        <v>13</v>
      </c>
      <c r="H93" s="581">
        <f t="shared" ref="H93:Q93" si="37">H92</f>
        <v>7254</v>
      </c>
      <c r="I93" s="282">
        <f t="shared" si="37"/>
        <v>7254</v>
      </c>
      <c r="J93" s="282">
        <f t="shared" si="37"/>
        <v>5538</v>
      </c>
      <c r="K93" s="582">
        <f t="shared" si="37"/>
        <v>0</v>
      </c>
      <c r="L93" s="581">
        <f t="shared" si="37"/>
        <v>9067</v>
      </c>
      <c r="M93" s="282">
        <f t="shared" si="37"/>
        <v>9067</v>
      </c>
      <c r="N93" s="282">
        <f t="shared" si="37"/>
        <v>6923</v>
      </c>
      <c r="O93" s="582">
        <f t="shared" si="37"/>
        <v>0</v>
      </c>
      <c r="P93" s="583">
        <f t="shared" si="37"/>
        <v>7260</v>
      </c>
      <c r="Q93" s="583">
        <f t="shared" si="37"/>
        <v>7260</v>
      </c>
      <c r="R93" s="1121"/>
      <c r="S93" s="287">
        <f>S92</f>
        <v>100</v>
      </c>
      <c r="T93" s="288">
        <f>T92</f>
        <v>100</v>
      </c>
      <c r="U93" s="563"/>
    </row>
    <row r="94" spans="1:23" ht="35.25" hidden="1" customHeight="1" outlineLevel="1" x14ac:dyDescent="0.2">
      <c r="A94" s="1847" t="s">
        <v>17</v>
      </c>
      <c r="B94" s="1125" t="s">
        <v>18</v>
      </c>
      <c r="C94" s="1127" t="s">
        <v>289</v>
      </c>
      <c r="D94" s="1302" t="s">
        <v>446</v>
      </c>
      <c r="E94" s="1848" t="s">
        <v>447</v>
      </c>
      <c r="F94" s="1199">
        <v>17</v>
      </c>
      <c r="G94" s="578" t="s">
        <v>413</v>
      </c>
      <c r="H94" s="584">
        <v>9100</v>
      </c>
      <c r="I94" s="585">
        <v>9100</v>
      </c>
      <c r="J94" s="585">
        <v>6900</v>
      </c>
      <c r="K94" s="586"/>
      <c r="L94" s="632">
        <v>9067</v>
      </c>
      <c r="M94" s="630">
        <v>9067</v>
      </c>
      <c r="N94" s="585">
        <v>6923</v>
      </c>
      <c r="O94" s="586"/>
      <c r="P94" s="588">
        <v>10000</v>
      </c>
      <c r="Q94" s="588">
        <v>11000</v>
      </c>
      <c r="R94" s="1121" t="s">
        <v>449</v>
      </c>
      <c r="S94" s="325">
        <v>100</v>
      </c>
      <c r="T94" s="326">
        <v>100</v>
      </c>
      <c r="U94" s="563"/>
    </row>
    <row r="95" spans="1:23" ht="15" hidden="1" customHeight="1" outlineLevel="1" x14ac:dyDescent="0.2">
      <c r="A95" s="1847"/>
      <c r="B95" s="1125"/>
      <c r="C95" s="1127"/>
      <c r="D95" s="1302"/>
      <c r="E95" s="1848"/>
      <c r="F95" s="1199"/>
      <c r="G95" s="580" t="s">
        <v>13</v>
      </c>
      <c r="H95" s="581">
        <f t="shared" ref="H95:Q95" si="38">H94</f>
        <v>9100</v>
      </c>
      <c r="I95" s="282">
        <f t="shared" si="38"/>
        <v>9100</v>
      </c>
      <c r="J95" s="282">
        <f t="shared" si="38"/>
        <v>6900</v>
      </c>
      <c r="K95" s="582">
        <f t="shared" si="38"/>
        <v>0</v>
      </c>
      <c r="L95" s="581">
        <f t="shared" si="38"/>
        <v>9067</v>
      </c>
      <c r="M95" s="282">
        <f t="shared" si="38"/>
        <v>9067</v>
      </c>
      <c r="N95" s="282">
        <f t="shared" si="38"/>
        <v>6923</v>
      </c>
      <c r="O95" s="582">
        <f t="shared" si="38"/>
        <v>0</v>
      </c>
      <c r="P95" s="583">
        <f t="shared" si="38"/>
        <v>10000</v>
      </c>
      <c r="Q95" s="583">
        <f t="shared" si="38"/>
        <v>11000</v>
      </c>
      <c r="R95" s="1121"/>
      <c r="S95" s="287">
        <f>S94</f>
        <v>100</v>
      </c>
      <c r="T95" s="288">
        <f>T94</f>
        <v>100</v>
      </c>
      <c r="U95" s="563"/>
    </row>
    <row r="96" spans="1:23" ht="35.25" hidden="1" customHeight="1" outlineLevel="1" x14ac:dyDescent="0.2">
      <c r="A96" s="1847" t="s">
        <v>17</v>
      </c>
      <c r="B96" s="1125" t="s">
        <v>18</v>
      </c>
      <c r="C96" s="1127" t="s">
        <v>331</v>
      </c>
      <c r="D96" s="1302" t="s">
        <v>446</v>
      </c>
      <c r="E96" s="1848" t="s">
        <v>447</v>
      </c>
      <c r="F96" s="1199">
        <v>18</v>
      </c>
      <c r="G96" s="578" t="s">
        <v>413</v>
      </c>
      <c r="H96" s="584">
        <v>14454</v>
      </c>
      <c r="I96" s="585">
        <v>14454</v>
      </c>
      <c r="J96" s="585">
        <v>11035</v>
      </c>
      <c r="K96" s="586"/>
      <c r="L96" s="632">
        <v>18134</v>
      </c>
      <c r="M96" s="630">
        <v>18134</v>
      </c>
      <c r="N96" s="585">
        <v>13846</v>
      </c>
      <c r="O96" s="586"/>
      <c r="P96" s="588">
        <v>15000</v>
      </c>
      <c r="Q96" s="588">
        <v>15000</v>
      </c>
      <c r="R96" s="1121" t="s">
        <v>449</v>
      </c>
      <c r="S96" s="325">
        <v>100</v>
      </c>
      <c r="T96" s="326">
        <v>100</v>
      </c>
      <c r="U96" s="563"/>
    </row>
    <row r="97" spans="1:23" ht="15" hidden="1" customHeight="1" outlineLevel="1" x14ac:dyDescent="0.2">
      <c r="A97" s="1847"/>
      <c r="B97" s="1125"/>
      <c r="C97" s="1127"/>
      <c r="D97" s="1302"/>
      <c r="E97" s="1848"/>
      <c r="F97" s="1199"/>
      <c r="G97" s="580" t="s">
        <v>13</v>
      </c>
      <c r="H97" s="581">
        <f t="shared" ref="H97:Q97" si="39">H96</f>
        <v>14454</v>
      </c>
      <c r="I97" s="282">
        <f t="shared" si="39"/>
        <v>14454</v>
      </c>
      <c r="J97" s="282">
        <f t="shared" si="39"/>
        <v>11035</v>
      </c>
      <c r="K97" s="582">
        <f t="shared" si="39"/>
        <v>0</v>
      </c>
      <c r="L97" s="581">
        <f t="shared" si="39"/>
        <v>18134</v>
      </c>
      <c r="M97" s="282">
        <f t="shared" si="39"/>
        <v>18134</v>
      </c>
      <c r="N97" s="282">
        <f t="shared" si="39"/>
        <v>13846</v>
      </c>
      <c r="O97" s="582">
        <f t="shared" si="39"/>
        <v>0</v>
      </c>
      <c r="P97" s="583">
        <f t="shared" si="39"/>
        <v>15000</v>
      </c>
      <c r="Q97" s="583">
        <f t="shared" si="39"/>
        <v>15000</v>
      </c>
      <c r="R97" s="1121"/>
      <c r="S97" s="287">
        <f>S96</f>
        <v>100</v>
      </c>
      <c r="T97" s="288">
        <f>T96</f>
        <v>100</v>
      </c>
      <c r="U97" s="563"/>
    </row>
    <row r="98" spans="1:23" ht="35.25" hidden="1" customHeight="1" outlineLevel="1" x14ac:dyDescent="0.2">
      <c r="A98" s="1847" t="s">
        <v>17</v>
      </c>
      <c r="B98" s="1125" t="s">
        <v>18</v>
      </c>
      <c r="C98" s="1127" t="s">
        <v>292</v>
      </c>
      <c r="D98" s="1302" t="s">
        <v>446</v>
      </c>
      <c r="E98" s="1848" t="s">
        <v>447</v>
      </c>
      <c r="F98" s="1199">
        <v>19</v>
      </c>
      <c r="G98" s="578" t="s">
        <v>413</v>
      </c>
      <c r="H98" s="584">
        <v>9100</v>
      </c>
      <c r="I98" s="585">
        <v>9100</v>
      </c>
      <c r="J98" s="585">
        <v>6900</v>
      </c>
      <c r="K98" s="586"/>
      <c r="L98" s="632">
        <v>9067</v>
      </c>
      <c r="M98" s="630">
        <v>9067</v>
      </c>
      <c r="N98" s="585">
        <v>6923</v>
      </c>
      <c r="O98" s="586"/>
      <c r="P98" s="588">
        <v>10000</v>
      </c>
      <c r="Q98" s="588">
        <v>11000</v>
      </c>
      <c r="R98" s="1121" t="s">
        <v>449</v>
      </c>
      <c r="S98" s="325">
        <v>100</v>
      </c>
      <c r="T98" s="326">
        <v>100</v>
      </c>
      <c r="U98" s="563"/>
    </row>
    <row r="99" spans="1:23" ht="15" hidden="1" customHeight="1" outlineLevel="1" x14ac:dyDescent="0.2">
      <c r="A99" s="1847"/>
      <c r="B99" s="1125"/>
      <c r="C99" s="1127"/>
      <c r="D99" s="1302"/>
      <c r="E99" s="1848"/>
      <c r="F99" s="1199"/>
      <c r="G99" s="580" t="s">
        <v>13</v>
      </c>
      <c r="H99" s="581">
        <f t="shared" ref="H99:Q99" si="40">H98</f>
        <v>9100</v>
      </c>
      <c r="I99" s="282">
        <f t="shared" si="40"/>
        <v>9100</v>
      </c>
      <c r="J99" s="282">
        <f t="shared" si="40"/>
        <v>6900</v>
      </c>
      <c r="K99" s="582">
        <f t="shared" si="40"/>
        <v>0</v>
      </c>
      <c r="L99" s="581">
        <f t="shared" si="40"/>
        <v>9067</v>
      </c>
      <c r="M99" s="282">
        <f t="shared" si="40"/>
        <v>9067</v>
      </c>
      <c r="N99" s="282">
        <f t="shared" si="40"/>
        <v>6923</v>
      </c>
      <c r="O99" s="582">
        <f t="shared" si="40"/>
        <v>0</v>
      </c>
      <c r="P99" s="583">
        <f t="shared" si="40"/>
        <v>10000</v>
      </c>
      <c r="Q99" s="583">
        <f t="shared" si="40"/>
        <v>11000</v>
      </c>
      <c r="R99" s="1121"/>
      <c r="S99" s="287">
        <f>S98</f>
        <v>100</v>
      </c>
      <c r="T99" s="288">
        <f>T98</f>
        <v>100</v>
      </c>
      <c r="U99" s="563"/>
    </row>
    <row r="100" spans="1:23" ht="35.25" hidden="1" customHeight="1" outlineLevel="1" x14ac:dyDescent="0.2">
      <c r="A100" s="1847" t="s">
        <v>17</v>
      </c>
      <c r="B100" s="1125" t="s">
        <v>18</v>
      </c>
      <c r="C100" s="1127" t="s">
        <v>296</v>
      </c>
      <c r="D100" s="1302" t="s">
        <v>446</v>
      </c>
      <c r="E100" s="1848" t="s">
        <v>447</v>
      </c>
      <c r="F100" s="1199">
        <v>20</v>
      </c>
      <c r="G100" s="578" t="s">
        <v>413</v>
      </c>
      <c r="H100" s="584">
        <v>7254</v>
      </c>
      <c r="I100" s="585">
        <v>7254</v>
      </c>
      <c r="J100" s="585">
        <v>5538</v>
      </c>
      <c r="K100" s="586"/>
      <c r="L100" s="632">
        <v>9067</v>
      </c>
      <c r="M100" s="630">
        <v>9067</v>
      </c>
      <c r="N100" s="585">
        <v>6923</v>
      </c>
      <c r="O100" s="586"/>
      <c r="P100" s="588">
        <v>7254</v>
      </c>
      <c r="Q100" s="588">
        <v>7254</v>
      </c>
      <c r="R100" s="1121" t="s">
        <v>449</v>
      </c>
      <c r="S100" s="325">
        <v>100</v>
      </c>
      <c r="T100" s="326">
        <v>100</v>
      </c>
      <c r="U100" s="563"/>
    </row>
    <row r="101" spans="1:23" ht="15" hidden="1" customHeight="1" outlineLevel="1" x14ac:dyDescent="0.2">
      <c r="A101" s="1847"/>
      <c r="B101" s="1125"/>
      <c r="C101" s="1127"/>
      <c r="D101" s="1302"/>
      <c r="E101" s="1848"/>
      <c r="F101" s="1199"/>
      <c r="G101" s="580" t="s">
        <v>13</v>
      </c>
      <c r="H101" s="581">
        <f t="shared" ref="H101:Q101" si="41">H100</f>
        <v>7254</v>
      </c>
      <c r="I101" s="282">
        <f t="shared" si="41"/>
        <v>7254</v>
      </c>
      <c r="J101" s="282">
        <f t="shared" si="41"/>
        <v>5538</v>
      </c>
      <c r="K101" s="582">
        <f t="shared" si="41"/>
        <v>0</v>
      </c>
      <c r="L101" s="581">
        <f t="shared" si="41"/>
        <v>9067</v>
      </c>
      <c r="M101" s="282">
        <f t="shared" si="41"/>
        <v>9067</v>
      </c>
      <c r="N101" s="282">
        <f t="shared" si="41"/>
        <v>6923</v>
      </c>
      <c r="O101" s="582">
        <f t="shared" si="41"/>
        <v>0</v>
      </c>
      <c r="P101" s="583">
        <f t="shared" si="41"/>
        <v>7254</v>
      </c>
      <c r="Q101" s="583">
        <f t="shared" si="41"/>
        <v>7254</v>
      </c>
      <c r="R101" s="1121"/>
      <c r="S101" s="287">
        <f>S100</f>
        <v>100</v>
      </c>
      <c r="T101" s="288">
        <f>T100</f>
        <v>100</v>
      </c>
      <c r="U101" s="563"/>
    </row>
    <row r="102" spans="1:23" ht="35.25" hidden="1" customHeight="1" outlineLevel="1" x14ac:dyDescent="0.2">
      <c r="A102" s="1847" t="s">
        <v>17</v>
      </c>
      <c r="B102" s="1125" t="s">
        <v>18</v>
      </c>
      <c r="C102" s="1127" t="s">
        <v>298</v>
      </c>
      <c r="D102" s="1302" t="s">
        <v>446</v>
      </c>
      <c r="E102" s="1848" t="s">
        <v>447</v>
      </c>
      <c r="F102" s="1199">
        <v>21</v>
      </c>
      <c r="G102" s="578" t="s">
        <v>413</v>
      </c>
      <c r="H102" s="584">
        <v>7254</v>
      </c>
      <c r="I102" s="585">
        <v>7254</v>
      </c>
      <c r="J102" s="585">
        <v>5537</v>
      </c>
      <c r="K102" s="586"/>
      <c r="L102" s="632">
        <v>9067</v>
      </c>
      <c r="M102" s="630">
        <v>9067</v>
      </c>
      <c r="N102" s="585">
        <v>6923</v>
      </c>
      <c r="O102" s="586"/>
      <c r="P102" s="588">
        <v>8705</v>
      </c>
      <c r="Q102" s="588">
        <v>9575</v>
      </c>
      <c r="R102" s="1121" t="s">
        <v>449</v>
      </c>
      <c r="S102" s="325">
        <v>100</v>
      </c>
      <c r="T102" s="326">
        <v>100</v>
      </c>
      <c r="U102" s="563"/>
    </row>
    <row r="103" spans="1:23" ht="15" hidden="1" customHeight="1" outlineLevel="1" x14ac:dyDescent="0.2">
      <c r="A103" s="1847"/>
      <c r="B103" s="1125"/>
      <c r="C103" s="1127"/>
      <c r="D103" s="1302"/>
      <c r="E103" s="1848"/>
      <c r="F103" s="1199"/>
      <c r="G103" s="580" t="s">
        <v>13</v>
      </c>
      <c r="H103" s="581">
        <f t="shared" ref="H103:Q103" si="42">H102</f>
        <v>7254</v>
      </c>
      <c r="I103" s="282">
        <f t="shared" si="42"/>
        <v>7254</v>
      </c>
      <c r="J103" s="282">
        <f t="shared" si="42"/>
        <v>5537</v>
      </c>
      <c r="K103" s="582">
        <f t="shared" si="42"/>
        <v>0</v>
      </c>
      <c r="L103" s="581">
        <f t="shared" si="42"/>
        <v>9067</v>
      </c>
      <c r="M103" s="282">
        <f t="shared" si="42"/>
        <v>9067</v>
      </c>
      <c r="N103" s="282">
        <f t="shared" si="42"/>
        <v>6923</v>
      </c>
      <c r="O103" s="582">
        <f t="shared" si="42"/>
        <v>0</v>
      </c>
      <c r="P103" s="583">
        <f t="shared" si="42"/>
        <v>8705</v>
      </c>
      <c r="Q103" s="583">
        <f t="shared" si="42"/>
        <v>9575</v>
      </c>
      <c r="R103" s="1121"/>
      <c r="S103" s="287">
        <f>S102</f>
        <v>100</v>
      </c>
      <c r="T103" s="288">
        <f>T102</f>
        <v>100</v>
      </c>
      <c r="U103" s="563"/>
    </row>
    <row r="104" spans="1:23" ht="22.5" customHeight="1" collapsed="1" x14ac:dyDescent="0.2">
      <c r="A104" s="1869" t="s">
        <v>17</v>
      </c>
      <c r="B104" s="1871" t="s">
        <v>18</v>
      </c>
      <c r="C104" s="1873" t="s">
        <v>19</v>
      </c>
      <c r="D104" s="1944" t="s">
        <v>450</v>
      </c>
      <c r="E104" s="1933" t="s">
        <v>451</v>
      </c>
      <c r="F104" s="1877" t="s">
        <v>452</v>
      </c>
      <c r="G104" s="633" t="s">
        <v>413</v>
      </c>
      <c r="H104" s="325">
        <v>128.1</v>
      </c>
      <c r="I104" s="326">
        <v>128.1</v>
      </c>
      <c r="J104" s="634">
        <v>0</v>
      </c>
      <c r="K104" s="393">
        <v>0</v>
      </c>
      <c r="L104" s="635">
        <v>128.1</v>
      </c>
      <c r="M104" s="636">
        <v>128.1</v>
      </c>
      <c r="N104" s="636">
        <v>0</v>
      </c>
      <c r="O104" s="637">
        <v>0</v>
      </c>
      <c r="P104" s="638">
        <v>128.1</v>
      </c>
      <c r="Q104" s="638">
        <v>168</v>
      </c>
      <c r="R104" s="1925" t="s">
        <v>453</v>
      </c>
      <c r="S104" s="325">
        <v>55</v>
      </c>
      <c r="T104" s="291">
        <v>55</v>
      </c>
      <c r="U104" s="639"/>
      <c r="V104" s="631"/>
      <c r="W104" s="631"/>
    </row>
    <row r="105" spans="1:23" ht="21.75" customHeight="1" x14ac:dyDescent="0.2">
      <c r="A105" s="1869"/>
      <c r="B105" s="1871"/>
      <c r="C105" s="1873"/>
      <c r="D105" s="1944"/>
      <c r="E105" s="1933"/>
      <c r="F105" s="1877"/>
      <c r="G105" s="580" t="s">
        <v>13</v>
      </c>
      <c r="H105" s="640">
        <f>SUM(H104:H104)</f>
        <v>128.1</v>
      </c>
      <c r="I105" s="641">
        <f t="shared" ref="I105:Q105" si="43">SUM(I104:I104)</f>
        <v>128.1</v>
      </c>
      <c r="J105" s="641">
        <f t="shared" si="43"/>
        <v>0</v>
      </c>
      <c r="K105" s="642">
        <f t="shared" si="43"/>
        <v>0</v>
      </c>
      <c r="L105" s="640">
        <f t="shared" si="43"/>
        <v>128.1</v>
      </c>
      <c r="M105" s="641">
        <f t="shared" si="43"/>
        <v>128.1</v>
      </c>
      <c r="N105" s="641">
        <f t="shared" si="43"/>
        <v>0</v>
      </c>
      <c r="O105" s="642">
        <f t="shared" si="43"/>
        <v>0</v>
      </c>
      <c r="P105" s="643">
        <f t="shared" si="43"/>
        <v>128.1</v>
      </c>
      <c r="Q105" s="643">
        <f t="shared" si="43"/>
        <v>168</v>
      </c>
      <c r="R105" s="1925"/>
      <c r="S105" s="287">
        <f>SUM(S104:S104)</f>
        <v>55</v>
      </c>
      <c r="T105" s="313">
        <f>SUM(T104:T104)</f>
        <v>55</v>
      </c>
      <c r="U105" s="289"/>
    </row>
    <row r="106" spans="1:23" ht="22.5" hidden="1" customHeight="1" outlineLevel="1" x14ac:dyDescent="0.2">
      <c r="A106" s="1869" t="s">
        <v>17</v>
      </c>
      <c r="B106" s="1871" t="s">
        <v>18</v>
      </c>
      <c r="C106" s="1873" t="s">
        <v>454</v>
      </c>
      <c r="D106" s="1944" t="s">
        <v>450</v>
      </c>
      <c r="E106" s="1933" t="s">
        <v>451</v>
      </c>
      <c r="F106" s="1877" t="s">
        <v>245</v>
      </c>
      <c r="G106" s="633" t="s">
        <v>413</v>
      </c>
      <c r="H106" s="325">
        <v>436100</v>
      </c>
      <c r="I106" s="326">
        <v>413000</v>
      </c>
      <c r="J106" s="326">
        <v>389900</v>
      </c>
      <c r="K106" s="393">
        <v>23100</v>
      </c>
      <c r="L106" s="644"/>
      <c r="M106" s="634"/>
      <c r="N106" s="634"/>
      <c r="O106" s="637"/>
      <c r="P106" s="638">
        <v>516200</v>
      </c>
      <c r="Q106" s="638">
        <v>507600</v>
      </c>
      <c r="R106" s="1925" t="s">
        <v>453</v>
      </c>
      <c r="S106" s="325">
        <v>480</v>
      </c>
      <c r="T106" s="326">
        <v>600</v>
      </c>
      <c r="U106" s="557"/>
      <c r="V106" s="549"/>
      <c r="W106" s="549"/>
    </row>
    <row r="107" spans="1:23" ht="15" hidden="1" customHeight="1" outlineLevel="1" x14ac:dyDescent="0.2">
      <c r="A107" s="1869"/>
      <c r="B107" s="1871"/>
      <c r="C107" s="1873"/>
      <c r="D107" s="1944"/>
      <c r="E107" s="1933"/>
      <c r="F107" s="1877"/>
      <c r="G107" s="580" t="s">
        <v>13</v>
      </c>
      <c r="H107" s="640">
        <f>SUM(H106:H106)</f>
        <v>436100</v>
      </c>
      <c r="I107" s="641">
        <f t="shared" ref="I107:Q107" si="44">SUM(I106:I106)</f>
        <v>413000</v>
      </c>
      <c r="J107" s="641">
        <f t="shared" si="44"/>
        <v>389900</v>
      </c>
      <c r="K107" s="642">
        <f t="shared" si="44"/>
        <v>23100</v>
      </c>
      <c r="L107" s="640">
        <f t="shared" si="44"/>
        <v>0</v>
      </c>
      <c r="M107" s="641">
        <f t="shared" si="44"/>
        <v>0</v>
      </c>
      <c r="N107" s="641">
        <f t="shared" si="44"/>
        <v>0</v>
      </c>
      <c r="O107" s="642">
        <f t="shared" si="44"/>
        <v>0</v>
      </c>
      <c r="P107" s="643">
        <f t="shared" si="44"/>
        <v>516200</v>
      </c>
      <c r="Q107" s="643">
        <f t="shared" si="44"/>
        <v>507600</v>
      </c>
      <c r="R107" s="1925"/>
      <c r="S107" s="287">
        <f>SUM(S106:S106)</f>
        <v>480</v>
      </c>
      <c r="T107" s="288">
        <f>SUM(T106:T106)</f>
        <v>600</v>
      </c>
      <c r="U107" s="563"/>
    </row>
    <row r="108" spans="1:23" ht="22.5" hidden="1" customHeight="1" outlineLevel="1" x14ac:dyDescent="0.2">
      <c r="A108" s="1869" t="s">
        <v>17</v>
      </c>
      <c r="B108" s="1871" t="s">
        <v>18</v>
      </c>
      <c r="C108" s="1873" t="s">
        <v>455</v>
      </c>
      <c r="D108" s="1944" t="s">
        <v>450</v>
      </c>
      <c r="E108" s="1933" t="s">
        <v>451</v>
      </c>
      <c r="F108" s="1877" t="s">
        <v>42</v>
      </c>
      <c r="G108" s="633" t="s">
        <v>413</v>
      </c>
      <c r="H108" s="325">
        <v>26674</v>
      </c>
      <c r="I108" s="326">
        <v>26674</v>
      </c>
      <c r="J108" s="634"/>
      <c r="K108" s="556"/>
      <c r="L108" s="644">
        <v>30112</v>
      </c>
      <c r="M108" s="634">
        <v>30112</v>
      </c>
      <c r="N108" s="634"/>
      <c r="O108" s="637"/>
      <c r="P108" s="638">
        <v>26674</v>
      </c>
      <c r="Q108" s="638">
        <v>29341</v>
      </c>
      <c r="R108" s="1925" t="s">
        <v>453</v>
      </c>
      <c r="S108" s="325">
        <v>80</v>
      </c>
      <c r="T108" s="326">
        <v>85</v>
      </c>
      <c r="U108" s="563"/>
    </row>
    <row r="109" spans="1:23" ht="15" hidden="1" customHeight="1" outlineLevel="1" x14ac:dyDescent="0.2">
      <c r="A109" s="1869"/>
      <c r="B109" s="1871"/>
      <c r="C109" s="1873"/>
      <c r="D109" s="1944"/>
      <c r="E109" s="1933"/>
      <c r="F109" s="1877"/>
      <c r="G109" s="580" t="s">
        <v>13</v>
      </c>
      <c r="H109" s="640">
        <f>SUM(H108:H108)</f>
        <v>26674</v>
      </c>
      <c r="I109" s="641">
        <f t="shared" ref="I109:Q109" si="45">SUM(I108:I108)</f>
        <v>26674</v>
      </c>
      <c r="J109" s="641">
        <f t="shared" si="45"/>
        <v>0</v>
      </c>
      <c r="K109" s="642">
        <f t="shared" si="45"/>
        <v>0</v>
      </c>
      <c r="L109" s="640">
        <f t="shared" si="45"/>
        <v>30112</v>
      </c>
      <c r="M109" s="641">
        <f t="shared" si="45"/>
        <v>30112</v>
      </c>
      <c r="N109" s="641">
        <f t="shared" si="45"/>
        <v>0</v>
      </c>
      <c r="O109" s="642">
        <f t="shared" si="45"/>
        <v>0</v>
      </c>
      <c r="P109" s="643">
        <f t="shared" si="45"/>
        <v>26674</v>
      </c>
      <c r="Q109" s="643">
        <f t="shared" si="45"/>
        <v>29341</v>
      </c>
      <c r="R109" s="1925"/>
      <c r="S109" s="287">
        <f>SUM(S108:S108)</f>
        <v>80</v>
      </c>
      <c r="T109" s="288">
        <f>SUM(T108:T108)</f>
        <v>85</v>
      </c>
      <c r="U109" s="563"/>
    </row>
    <row r="110" spans="1:23" ht="22.5" hidden="1" customHeight="1" outlineLevel="1" x14ac:dyDescent="0.2">
      <c r="A110" s="1869" t="s">
        <v>17</v>
      </c>
      <c r="B110" s="1871" t="s">
        <v>18</v>
      </c>
      <c r="C110" s="1873" t="s">
        <v>456</v>
      </c>
      <c r="D110" s="1944" t="s">
        <v>450</v>
      </c>
      <c r="E110" s="1933" t="s">
        <v>451</v>
      </c>
      <c r="F110" s="1877" t="s">
        <v>43</v>
      </c>
      <c r="G110" s="633" t="s">
        <v>413</v>
      </c>
      <c r="H110" s="325">
        <v>27079</v>
      </c>
      <c r="I110" s="326">
        <v>27079</v>
      </c>
      <c r="J110" s="634"/>
      <c r="K110" s="556"/>
      <c r="L110" s="644">
        <v>18971</v>
      </c>
      <c r="M110" s="634">
        <v>18971</v>
      </c>
      <c r="N110" s="634"/>
      <c r="O110" s="637"/>
      <c r="P110" s="638">
        <v>29800</v>
      </c>
      <c r="Q110" s="638">
        <v>29800</v>
      </c>
      <c r="R110" s="1925" t="s">
        <v>453</v>
      </c>
      <c r="S110" s="325">
        <v>63</v>
      </c>
      <c r="T110" s="326">
        <v>70</v>
      </c>
      <c r="U110" s="563"/>
    </row>
    <row r="111" spans="1:23" ht="15" hidden="1" customHeight="1" outlineLevel="1" x14ac:dyDescent="0.2">
      <c r="A111" s="1869"/>
      <c r="B111" s="1871"/>
      <c r="C111" s="1873"/>
      <c r="D111" s="1944"/>
      <c r="E111" s="1933"/>
      <c r="F111" s="1877"/>
      <c r="G111" s="580" t="s">
        <v>13</v>
      </c>
      <c r="H111" s="640">
        <f>SUM(H110:H110)</f>
        <v>27079</v>
      </c>
      <c r="I111" s="641">
        <f t="shared" ref="I111:Q111" si="46">SUM(I110:I110)</f>
        <v>27079</v>
      </c>
      <c r="J111" s="641">
        <f t="shared" si="46"/>
        <v>0</v>
      </c>
      <c r="K111" s="642">
        <f t="shared" si="46"/>
        <v>0</v>
      </c>
      <c r="L111" s="640">
        <f t="shared" si="46"/>
        <v>18971</v>
      </c>
      <c r="M111" s="641">
        <f t="shared" si="46"/>
        <v>18971</v>
      </c>
      <c r="N111" s="641">
        <f t="shared" si="46"/>
        <v>0</v>
      </c>
      <c r="O111" s="642">
        <f t="shared" si="46"/>
        <v>0</v>
      </c>
      <c r="P111" s="643">
        <f t="shared" si="46"/>
        <v>29800</v>
      </c>
      <c r="Q111" s="643">
        <f t="shared" si="46"/>
        <v>29800</v>
      </c>
      <c r="R111" s="1925"/>
      <c r="S111" s="287">
        <f>SUM(S110:S110)</f>
        <v>63</v>
      </c>
      <c r="T111" s="288">
        <f>SUM(T110:T110)</f>
        <v>70</v>
      </c>
      <c r="U111" s="563"/>
    </row>
    <row r="112" spans="1:23" ht="22.5" hidden="1" customHeight="1" outlineLevel="1" x14ac:dyDescent="0.2">
      <c r="A112" s="1869" t="s">
        <v>17</v>
      </c>
      <c r="B112" s="1871" t="s">
        <v>18</v>
      </c>
      <c r="C112" s="1873" t="s">
        <v>457</v>
      </c>
      <c r="D112" s="1944" t="s">
        <v>450</v>
      </c>
      <c r="E112" s="1933" t="s">
        <v>451</v>
      </c>
      <c r="F112" s="1877" t="s">
        <v>91</v>
      </c>
      <c r="G112" s="633" t="s">
        <v>413</v>
      </c>
      <c r="H112" s="325">
        <v>9500</v>
      </c>
      <c r="I112" s="326">
        <v>9500</v>
      </c>
      <c r="J112" s="634"/>
      <c r="K112" s="556"/>
      <c r="L112" s="644">
        <v>8733</v>
      </c>
      <c r="M112" s="634">
        <v>8733</v>
      </c>
      <c r="N112" s="634"/>
      <c r="O112" s="637"/>
      <c r="P112" s="638">
        <v>9500</v>
      </c>
      <c r="Q112" s="638">
        <v>9500</v>
      </c>
      <c r="R112" s="1925" t="s">
        <v>453</v>
      </c>
      <c r="S112" s="325">
        <v>21</v>
      </c>
      <c r="T112" s="326">
        <v>21</v>
      </c>
      <c r="U112" s="563"/>
    </row>
    <row r="113" spans="1:21" ht="15" hidden="1" customHeight="1" outlineLevel="1" x14ac:dyDescent="0.2">
      <c r="A113" s="1869"/>
      <c r="B113" s="1871"/>
      <c r="C113" s="1873"/>
      <c r="D113" s="1944"/>
      <c r="E113" s="1933"/>
      <c r="F113" s="1877"/>
      <c r="G113" s="580" t="s">
        <v>13</v>
      </c>
      <c r="H113" s="640">
        <f>SUM(H112:H112)</f>
        <v>9500</v>
      </c>
      <c r="I113" s="641">
        <f t="shared" ref="I113:Q113" si="47">SUM(I112:I112)</f>
        <v>9500</v>
      </c>
      <c r="J113" s="641">
        <f t="shared" si="47"/>
        <v>0</v>
      </c>
      <c r="K113" s="642">
        <f t="shared" si="47"/>
        <v>0</v>
      </c>
      <c r="L113" s="640">
        <f t="shared" si="47"/>
        <v>8733</v>
      </c>
      <c r="M113" s="641">
        <f t="shared" si="47"/>
        <v>8733</v>
      </c>
      <c r="N113" s="641">
        <f t="shared" si="47"/>
        <v>0</v>
      </c>
      <c r="O113" s="642">
        <f t="shared" si="47"/>
        <v>0</v>
      </c>
      <c r="P113" s="643">
        <f t="shared" si="47"/>
        <v>9500</v>
      </c>
      <c r="Q113" s="643">
        <f t="shared" si="47"/>
        <v>9500</v>
      </c>
      <c r="R113" s="1925"/>
      <c r="S113" s="287">
        <f>SUM(S112:S112)</f>
        <v>21</v>
      </c>
      <c r="T113" s="288">
        <f>SUM(T112:T112)</f>
        <v>21</v>
      </c>
      <c r="U113" s="563"/>
    </row>
    <row r="114" spans="1:21" ht="22.5" hidden="1" customHeight="1" outlineLevel="1" x14ac:dyDescent="0.2">
      <c r="A114" s="1869" t="s">
        <v>17</v>
      </c>
      <c r="B114" s="1871" t="s">
        <v>18</v>
      </c>
      <c r="C114" s="1873" t="s">
        <v>458</v>
      </c>
      <c r="D114" s="1944" t="s">
        <v>450</v>
      </c>
      <c r="E114" s="1933" t="s">
        <v>451</v>
      </c>
      <c r="F114" s="1877" t="s">
        <v>92</v>
      </c>
      <c r="G114" s="633" t="s">
        <v>413</v>
      </c>
      <c r="H114" s="325">
        <v>14000</v>
      </c>
      <c r="I114" s="326">
        <v>14000</v>
      </c>
      <c r="J114" s="634"/>
      <c r="K114" s="556"/>
      <c r="L114" s="644">
        <v>20175</v>
      </c>
      <c r="M114" s="634">
        <v>20175</v>
      </c>
      <c r="N114" s="634"/>
      <c r="O114" s="637"/>
      <c r="P114" s="638">
        <v>14000</v>
      </c>
      <c r="Q114" s="638">
        <v>14000</v>
      </c>
      <c r="R114" s="1925" t="s">
        <v>453</v>
      </c>
      <c r="S114" s="325">
        <v>35</v>
      </c>
      <c r="T114" s="326">
        <v>35</v>
      </c>
      <c r="U114" s="563"/>
    </row>
    <row r="115" spans="1:21" ht="15" hidden="1" customHeight="1" outlineLevel="1" x14ac:dyDescent="0.2">
      <c r="A115" s="1869"/>
      <c r="B115" s="1871"/>
      <c r="C115" s="1873"/>
      <c r="D115" s="1944"/>
      <c r="E115" s="1933"/>
      <c r="F115" s="1877"/>
      <c r="G115" s="580" t="s">
        <v>13</v>
      </c>
      <c r="H115" s="640">
        <f>SUM(H114:H114)</f>
        <v>14000</v>
      </c>
      <c r="I115" s="641">
        <f t="shared" ref="I115:Q115" si="48">SUM(I114:I114)</f>
        <v>14000</v>
      </c>
      <c r="J115" s="641">
        <f t="shared" si="48"/>
        <v>0</v>
      </c>
      <c r="K115" s="642">
        <f t="shared" si="48"/>
        <v>0</v>
      </c>
      <c r="L115" s="640">
        <f t="shared" si="48"/>
        <v>20175</v>
      </c>
      <c r="M115" s="641">
        <f t="shared" si="48"/>
        <v>20175</v>
      </c>
      <c r="N115" s="641">
        <f t="shared" si="48"/>
        <v>0</v>
      </c>
      <c r="O115" s="642">
        <f t="shared" si="48"/>
        <v>0</v>
      </c>
      <c r="P115" s="643">
        <f t="shared" si="48"/>
        <v>14000</v>
      </c>
      <c r="Q115" s="643">
        <f t="shared" si="48"/>
        <v>14000</v>
      </c>
      <c r="R115" s="1925"/>
      <c r="S115" s="287">
        <f>SUM(S114:S114)</f>
        <v>35</v>
      </c>
      <c r="T115" s="288">
        <f>SUM(T114:T114)</f>
        <v>35</v>
      </c>
      <c r="U115" s="563"/>
    </row>
    <row r="116" spans="1:21" ht="22.5" hidden="1" customHeight="1" outlineLevel="1" x14ac:dyDescent="0.2">
      <c r="A116" s="1869" t="s">
        <v>17</v>
      </c>
      <c r="B116" s="1871" t="s">
        <v>18</v>
      </c>
      <c r="C116" s="1873" t="s">
        <v>459</v>
      </c>
      <c r="D116" s="1944" t="s">
        <v>450</v>
      </c>
      <c r="E116" s="1933" t="s">
        <v>451</v>
      </c>
      <c r="F116" s="1877" t="s">
        <v>115</v>
      </c>
      <c r="G116" s="633" t="s">
        <v>413</v>
      </c>
      <c r="H116" s="564"/>
      <c r="I116" s="565"/>
      <c r="J116" s="634"/>
      <c r="K116" s="556"/>
      <c r="L116" s="644">
        <v>21078</v>
      </c>
      <c r="M116" s="634">
        <v>21078</v>
      </c>
      <c r="N116" s="634"/>
      <c r="O116" s="637"/>
      <c r="P116" s="638"/>
      <c r="Q116" s="638"/>
      <c r="R116" s="1925" t="s">
        <v>453</v>
      </c>
      <c r="S116" s="325"/>
      <c r="T116" s="326"/>
      <c r="U116" s="563"/>
    </row>
    <row r="117" spans="1:21" ht="15" hidden="1" customHeight="1" outlineLevel="1" x14ac:dyDescent="0.2">
      <c r="A117" s="1869"/>
      <c r="B117" s="1871"/>
      <c r="C117" s="1873"/>
      <c r="D117" s="1944"/>
      <c r="E117" s="1933"/>
      <c r="F117" s="1877"/>
      <c r="G117" s="580" t="s">
        <v>13</v>
      </c>
      <c r="H117" s="640">
        <f>SUM(H116:H116)</f>
        <v>0</v>
      </c>
      <c r="I117" s="641">
        <f t="shared" ref="I117:Q117" si="49">SUM(I116:I116)</f>
        <v>0</v>
      </c>
      <c r="J117" s="641">
        <f t="shared" si="49"/>
        <v>0</v>
      </c>
      <c r="K117" s="642">
        <f t="shared" si="49"/>
        <v>0</v>
      </c>
      <c r="L117" s="640">
        <f t="shared" si="49"/>
        <v>21078</v>
      </c>
      <c r="M117" s="641">
        <f t="shared" si="49"/>
        <v>21078</v>
      </c>
      <c r="N117" s="641">
        <f t="shared" si="49"/>
        <v>0</v>
      </c>
      <c r="O117" s="642">
        <f t="shared" si="49"/>
        <v>0</v>
      </c>
      <c r="P117" s="643">
        <f t="shared" si="49"/>
        <v>0</v>
      </c>
      <c r="Q117" s="643">
        <f t="shared" si="49"/>
        <v>0</v>
      </c>
      <c r="R117" s="1925"/>
      <c r="S117" s="287">
        <f>SUM(S116:S116)</f>
        <v>0</v>
      </c>
      <c r="T117" s="288">
        <f>SUM(T116:T116)</f>
        <v>0</v>
      </c>
      <c r="U117" s="563"/>
    </row>
    <row r="118" spans="1:21" ht="22.5" hidden="1" customHeight="1" outlineLevel="1" x14ac:dyDescent="0.2">
      <c r="A118" s="1869" t="s">
        <v>17</v>
      </c>
      <c r="B118" s="1871" t="s">
        <v>18</v>
      </c>
      <c r="C118" s="1873" t="s">
        <v>460</v>
      </c>
      <c r="D118" s="1944" t="s">
        <v>450</v>
      </c>
      <c r="E118" s="1933" t="s">
        <v>451</v>
      </c>
      <c r="F118" s="1877" t="s">
        <v>93</v>
      </c>
      <c r="G118" s="633" t="s">
        <v>413</v>
      </c>
      <c r="H118" s="325">
        <v>9600</v>
      </c>
      <c r="I118" s="326">
        <v>9600</v>
      </c>
      <c r="J118" s="634"/>
      <c r="K118" s="556"/>
      <c r="L118" s="644">
        <v>9636</v>
      </c>
      <c r="M118" s="634">
        <v>9636</v>
      </c>
      <c r="N118" s="634"/>
      <c r="O118" s="637"/>
      <c r="P118" s="638">
        <v>9600</v>
      </c>
      <c r="Q118" s="638">
        <v>9600</v>
      </c>
      <c r="R118" s="1925" t="s">
        <v>453</v>
      </c>
      <c r="S118" s="325">
        <v>19</v>
      </c>
      <c r="T118" s="326">
        <v>19</v>
      </c>
      <c r="U118" s="563"/>
    </row>
    <row r="119" spans="1:21" ht="15" hidden="1" customHeight="1" outlineLevel="1" x14ac:dyDescent="0.2">
      <c r="A119" s="1869"/>
      <c r="B119" s="1871"/>
      <c r="C119" s="1873"/>
      <c r="D119" s="1944"/>
      <c r="E119" s="1933"/>
      <c r="F119" s="1877"/>
      <c r="G119" s="580" t="s">
        <v>13</v>
      </c>
      <c r="H119" s="640">
        <f>SUM(H118:H118)</f>
        <v>9600</v>
      </c>
      <c r="I119" s="641">
        <f t="shared" ref="I119:Q119" si="50">SUM(I118:I118)</f>
        <v>9600</v>
      </c>
      <c r="J119" s="641">
        <f t="shared" si="50"/>
        <v>0</v>
      </c>
      <c r="K119" s="642">
        <f t="shared" si="50"/>
        <v>0</v>
      </c>
      <c r="L119" s="640">
        <f t="shared" si="50"/>
        <v>9636</v>
      </c>
      <c r="M119" s="641">
        <f t="shared" si="50"/>
        <v>9636</v>
      </c>
      <c r="N119" s="641">
        <f t="shared" si="50"/>
        <v>0</v>
      </c>
      <c r="O119" s="642">
        <f t="shared" si="50"/>
        <v>0</v>
      </c>
      <c r="P119" s="643">
        <f t="shared" si="50"/>
        <v>9600</v>
      </c>
      <c r="Q119" s="643">
        <f t="shared" si="50"/>
        <v>9600</v>
      </c>
      <c r="R119" s="1925"/>
      <c r="S119" s="287">
        <f>SUM(S118:S118)</f>
        <v>19</v>
      </c>
      <c r="T119" s="288">
        <f>SUM(T118:T118)</f>
        <v>19</v>
      </c>
      <c r="U119" s="563"/>
    </row>
    <row r="120" spans="1:21" ht="22.5" hidden="1" customHeight="1" outlineLevel="1" x14ac:dyDescent="0.2">
      <c r="A120" s="1869" t="s">
        <v>17</v>
      </c>
      <c r="B120" s="1871" t="s">
        <v>18</v>
      </c>
      <c r="C120" s="1873" t="s">
        <v>461</v>
      </c>
      <c r="D120" s="1944" t="s">
        <v>450</v>
      </c>
      <c r="E120" s="1933" t="s">
        <v>451</v>
      </c>
      <c r="F120" s="1877" t="s">
        <v>94</v>
      </c>
      <c r="G120" s="633" t="s">
        <v>413</v>
      </c>
      <c r="H120" s="325">
        <v>18854</v>
      </c>
      <c r="I120" s="326">
        <v>18854</v>
      </c>
      <c r="J120" s="634"/>
      <c r="K120" s="556"/>
      <c r="L120" s="644">
        <v>23788</v>
      </c>
      <c r="M120" s="634">
        <v>23788</v>
      </c>
      <c r="N120" s="634"/>
      <c r="O120" s="637"/>
      <c r="P120" s="638">
        <v>18854</v>
      </c>
      <c r="Q120" s="638">
        <v>18854</v>
      </c>
      <c r="R120" s="1925" t="s">
        <v>453</v>
      </c>
      <c r="S120" s="325">
        <v>43</v>
      </c>
      <c r="T120" s="326">
        <v>43</v>
      </c>
      <c r="U120" s="563"/>
    </row>
    <row r="121" spans="1:21" ht="15" hidden="1" customHeight="1" outlineLevel="1" x14ac:dyDescent="0.2">
      <c r="A121" s="1869"/>
      <c r="B121" s="1871"/>
      <c r="C121" s="1873"/>
      <c r="D121" s="1944"/>
      <c r="E121" s="1933"/>
      <c r="F121" s="1877"/>
      <c r="G121" s="580" t="s">
        <v>13</v>
      </c>
      <c r="H121" s="640">
        <f>SUM(H120:H120)</f>
        <v>18854</v>
      </c>
      <c r="I121" s="641">
        <f t="shared" ref="I121:Q121" si="51">SUM(I120:I120)</f>
        <v>18854</v>
      </c>
      <c r="J121" s="641">
        <f t="shared" si="51"/>
        <v>0</v>
      </c>
      <c r="K121" s="642">
        <f t="shared" si="51"/>
        <v>0</v>
      </c>
      <c r="L121" s="640">
        <f t="shared" si="51"/>
        <v>23788</v>
      </c>
      <c r="M121" s="641">
        <f t="shared" si="51"/>
        <v>23788</v>
      </c>
      <c r="N121" s="641">
        <f t="shared" si="51"/>
        <v>0</v>
      </c>
      <c r="O121" s="642">
        <f t="shared" si="51"/>
        <v>0</v>
      </c>
      <c r="P121" s="643">
        <f t="shared" si="51"/>
        <v>18854</v>
      </c>
      <c r="Q121" s="643">
        <f t="shared" si="51"/>
        <v>18854</v>
      </c>
      <c r="R121" s="1925"/>
      <c r="S121" s="287">
        <f>SUM(S120:S120)</f>
        <v>43</v>
      </c>
      <c r="T121" s="288">
        <f>SUM(T120:T120)</f>
        <v>43</v>
      </c>
      <c r="U121" s="563"/>
    </row>
    <row r="122" spans="1:21" ht="22.5" hidden="1" customHeight="1" outlineLevel="1" x14ac:dyDescent="0.2">
      <c r="A122" s="1869" t="s">
        <v>17</v>
      </c>
      <c r="B122" s="1871" t="s">
        <v>18</v>
      </c>
      <c r="C122" s="1873" t="s">
        <v>462</v>
      </c>
      <c r="D122" s="1944" t="s">
        <v>450</v>
      </c>
      <c r="E122" s="1933" t="s">
        <v>451</v>
      </c>
      <c r="F122" s="1877" t="s">
        <v>95</v>
      </c>
      <c r="G122" s="633" t="s">
        <v>413</v>
      </c>
      <c r="H122" s="325">
        <v>10397</v>
      </c>
      <c r="I122" s="326">
        <v>10397</v>
      </c>
      <c r="J122" s="634"/>
      <c r="K122" s="556"/>
      <c r="L122" s="644">
        <v>12045</v>
      </c>
      <c r="M122" s="634">
        <v>12045</v>
      </c>
      <c r="N122" s="634"/>
      <c r="O122" s="637"/>
      <c r="P122" s="638">
        <v>12476</v>
      </c>
      <c r="Q122" s="638">
        <v>13723</v>
      </c>
      <c r="R122" s="1925" t="s">
        <v>453</v>
      </c>
      <c r="S122" s="325">
        <v>40</v>
      </c>
      <c r="T122" s="326">
        <v>50</v>
      </c>
      <c r="U122" s="563"/>
    </row>
    <row r="123" spans="1:21" ht="15" hidden="1" customHeight="1" outlineLevel="1" x14ac:dyDescent="0.2">
      <c r="A123" s="1869"/>
      <c r="B123" s="1871"/>
      <c r="C123" s="1873"/>
      <c r="D123" s="1944"/>
      <c r="E123" s="1933"/>
      <c r="F123" s="1877"/>
      <c r="G123" s="580" t="s">
        <v>13</v>
      </c>
      <c r="H123" s="640">
        <f>SUM(H122:H122)</f>
        <v>10397</v>
      </c>
      <c r="I123" s="641">
        <f t="shared" ref="I123:Q123" si="52">SUM(I122:I122)</f>
        <v>10397</v>
      </c>
      <c r="J123" s="641">
        <f t="shared" si="52"/>
        <v>0</v>
      </c>
      <c r="K123" s="642">
        <f t="shared" si="52"/>
        <v>0</v>
      </c>
      <c r="L123" s="640">
        <f t="shared" si="52"/>
        <v>12045</v>
      </c>
      <c r="M123" s="641">
        <f t="shared" si="52"/>
        <v>12045</v>
      </c>
      <c r="N123" s="641">
        <f t="shared" si="52"/>
        <v>0</v>
      </c>
      <c r="O123" s="642">
        <f t="shared" si="52"/>
        <v>0</v>
      </c>
      <c r="P123" s="643">
        <f t="shared" si="52"/>
        <v>12476</v>
      </c>
      <c r="Q123" s="643">
        <f t="shared" si="52"/>
        <v>13723</v>
      </c>
      <c r="R123" s="1925"/>
      <c r="S123" s="287">
        <f>SUM(S122:S122)</f>
        <v>40</v>
      </c>
      <c r="T123" s="288">
        <f>SUM(T122:T122)</f>
        <v>50</v>
      </c>
      <c r="U123" s="563"/>
    </row>
    <row r="124" spans="1:21" ht="14.25" customHeight="1" collapsed="1" x14ac:dyDescent="0.2">
      <c r="A124" s="1869" t="s">
        <v>17</v>
      </c>
      <c r="B124" s="1871" t="s">
        <v>18</v>
      </c>
      <c r="C124" s="1873" t="s">
        <v>20</v>
      </c>
      <c r="D124" s="1939" t="s">
        <v>463</v>
      </c>
      <c r="E124" s="1942" t="s">
        <v>464</v>
      </c>
      <c r="F124" s="1943">
        <v>11</v>
      </c>
      <c r="G124" s="645" t="s">
        <v>226</v>
      </c>
      <c r="H124" s="325">
        <v>28.8</v>
      </c>
      <c r="I124" s="326">
        <v>28.8</v>
      </c>
      <c r="J124" s="326">
        <v>0</v>
      </c>
      <c r="K124" s="393">
        <v>0</v>
      </c>
      <c r="L124" s="325">
        <v>28.8</v>
      </c>
      <c r="M124" s="326">
        <v>28.8</v>
      </c>
      <c r="N124" s="326">
        <v>0</v>
      </c>
      <c r="O124" s="393">
        <v>0</v>
      </c>
      <c r="P124" s="391"/>
      <c r="Q124" s="391"/>
      <c r="R124" s="1925" t="s">
        <v>465</v>
      </c>
      <c r="S124" s="1389">
        <v>10</v>
      </c>
      <c r="T124" s="1896">
        <v>10</v>
      </c>
      <c r="U124" s="1844"/>
    </row>
    <row r="125" spans="1:21" ht="13.5" customHeight="1" x14ac:dyDescent="0.2">
      <c r="A125" s="1869"/>
      <c r="B125" s="1871"/>
      <c r="C125" s="1873"/>
      <c r="D125" s="1940"/>
      <c r="E125" s="1942"/>
      <c r="F125" s="1943"/>
      <c r="G125" s="645" t="s">
        <v>224</v>
      </c>
      <c r="H125" s="584">
        <v>68.8</v>
      </c>
      <c r="I125" s="585">
        <v>27</v>
      </c>
      <c r="J125" s="585">
        <v>0</v>
      </c>
      <c r="K125" s="586">
        <v>41.8</v>
      </c>
      <c r="L125" s="584">
        <v>68.8</v>
      </c>
      <c r="M125" s="585">
        <v>27</v>
      </c>
      <c r="N125" s="585">
        <v>0</v>
      </c>
      <c r="O125" s="586">
        <v>41.8</v>
      </c>
      <c r="P125" s="588">
        <v>7.4</v>
      </c>
      <c r="Q125" s="588">
        <v>20</v>
      </c>
      <c r="R125" s="1925"/>
      <c r="S125" s="1389"/>
      <c r="T125" s="1900"/>
      <c r="U125" s="1845"/>
    </row>
    <row r="126" spans="1:21" ht="13.5" customHeight="1" x14ac:dyDescent="0.2">
      <c r="A126" s="1869"/>
      <c r="B126" s="1871"/>
      <c r="C126" s="1873"/>
      <c r="D126" s="1940"/>
      <c r="E126" s="1942"/>
      <c r="F126" s="1943"/>
      <c r="G126" s="645" t="s">
        <v>466</v>
      </c>
      <c r="H126" s="584">
        <v>0</v>
      </c>
      <c r="I126" s="585">
        <v>0</v>
      </c>
      <c r="J126" s="585">
        <v>0</v>
      </c>
      <c r="K126" s="586">
        <v>0</v>
      </c>
      <c r="L126" s="584">
        <v>0</v>
      </c>
      <c r="M126" s="585">
        <v>0</v>
      </c>
      <c r="N126" s="585">
        <v>0</v>
      </c>
      <c r="O126" s="586">
        <v>0</v>
      </c>
      <c r="P126" s="588">
        <v>7.4</v>
      </c>
      <c r="Q126" s="588">
        <v>10</v>
      </c>
      <c r="R126" s="1925"/>
      <c r="S126" s="1389"/>
      <c r="T126" s="1897"/>
      <c r="U126" s="1846"/>
    </row>
    <row r="127" spans="1:21" ht="18" customHeight="1" x14ac:dyDescent="0.2">
      <c r="A127" s="1869"/>
      <c r="B127" s="1871"/>
      <c r="C127" s="1873"/>
      <c r="D127" s="1941"/>
      <c r="E127" s="1942"/>
      <c r="F127" s="1943"/>
      <c r="G127" s="580" t="s">
        <v>13</v>
      </c>
      <c r="H127" s="646">
        <f>SUM(H124:H126)</f>
        <v>97.6</v>
      </c>
      <c r="I127" s="647">
        <f t="shared" ref="I127:Q127" si="53">SUM(I124:I126)</f>
        <v>55.8</v>
      </c>
      <c r="J127" s="647">
        <f t="shared" si="53"/>
        <v>0</v>
      </c>
      <c r="K127" s="648">
        <f t="shared" si="53"/>
        <v>41.8</v>
      </c>
      <c r="L127" s="646">
        <f t="shared" si="53"/>
        <v>97.6</v>
      </c>
      <c r="M127" s="647">
        <f t="shared" si="53"/>
        <v>55.8</v>
      </c>
      <c r="N127" s="647">
        <f t="shared" si="53"/>
        <v>0</v>
      </c>
      <c r="O127" s="648">
        <f t="shared" si="53"/>
        <v>41.8</v>
      </c>
      <c r="P127" s="649">
        <f t="shared" si="53"/>
        <v>14.8</v>
      </c>
      <c r="Q127" s="649">
        <f t="shared" si="53"/>
        <v>30</v>
      </c>
      <c r="R127" s="1925"/>
      <c r="S127" s="287">
        <f>SUM(S124)</f>
        <v>10</v>
      </c>
      <c r="T127" s="313">
        <f>SUM(T124)</f>
        <v>10</v>
      </c>
      <c r="U127" s="289"/>
    </row>
    <row r="128" spans="1:21" s="573" customFormat="1" ht="15" customHeight="1" x14ac:dyDescent="0.2">
      <c r="A128" s="1928" t="s">
        <v>17</v>
      </c>
      <c r="B128" s="1930" t="s">
        <v>18</v>
      </c>
      <c r="C128" s="1932" t="s">
        <v>21</v>
      </c>
      <c r="D128" s="1875" t="s">
        <v>467</v>
      </c>
      <c r="E128" s="1933" t="s">
        <v>468</v>
      </c>
      <c r="F128" s="1934" t="s">
        <v>245</v>
      </c>
      <c r="G128" s="1935" t="s">
        <v>413</v>
      </c>
      <c r="H128" s="1927">
        <v>0</v>
      </c>
      <c r="I128" s="1922">
        <v>0</v>
      </c>
      <c r="J128" s="1922">
        <v>0</v>
      </c>
      <c r="K128" s="1923">
        <v>0</v>
      </c>
      <c r="L128" s="1927">
        <v>0</v>
      </c>
      <c r="M128" s="1922">
        <v>0</v>
      </c>
      <c r="N128" s="1922">
        <v>0</v>
      </c>
      <c r="O128" s="1923">
        <v>0</v>
      </c>
      <c r="P128" s="1924">
        <v>0</v>
      </c>
      <c r="Q128" s="1924">
        <v>0</v>
      </c>
      <c r="R128" s="1925" t="s">
        <v>469</v>
      </c>
      <c r="S128" s="1389">
        <v>7</v>
      </c>
      <c r="T128" s="1896">
        <v>7</v>
      </c>
      <c r="U128" s="1936"/>
    </row>
    <row r="129" spans="1:26" ht="0.75" hidden="1" customHeight="1" x14ac:dyDescent="0.2">
      <c r="A129" s="1928"/>
      <c r="B129" s="1930"/>
      <c r="C129" s="1932"/>
      <c r="D129" s="1875"/>
      <c r="E129" s="1933"/>
      <c r="F129" s="1934"/>
      <c r="G129" s="1935"/>
      <c r="H129" s="1927"/>
      <c r="I129" s="1922"/>
      <c r="J129" s="1922"/>
      <c r="K129" s="1923"/>
      <c r="L129" s="1927"/>
      <c r="M129" s="1922"/>
      <c r="N129" s="1922"/>
      <c r="O129" s="1923"/>
      <c r="P129" s="1924"/>
      <c r="Q129" s="1924"/>
      <c r="R129" s="1925"/>
      <c r="S129" s="1389"/>
      <c r="T129" s="1900"/>
      <c r="U129" s="1937"/>
    </row>
    <row r="130" spans="1:26" ht="15.75" customHeight="1" x14ac:dyDescent="0.2">
      <c r="A130" s="1928"/>
      <c r="B130" s="1930"/>
      <c r="C130" s="1932"/>
      <c r="D130" s="1875"/>
      <c r="E130" s="1933"/>
      <c r="F130" s="1934"/>
      <c r="G130" s="578" t="s">
        <v>224</v>
      </c>
      <c r="H130" s="632">
        <v>9.8000000000000007</v>
      </c>
      <c r="I130" s="630">
        <v>9.8000000000000007</v>
      </c>
      <c r="J130" s="630">
        <v>7.6</v>
      </c>
      <c r="K130" s="650">
        <v>0</v>
      </c>
      <c r="L130" s="632">
        <v>9.4</v>
      </c>
      <c r="M130" s="630">
        <v>9.4</v>
      </c>
      <c r="N130" s="630">
        <v>7.6</v>
      </c>
      <c r="O130" s="650">
        <v>0</v>
      </c>
      <c r="P130" s="651">
        <v>6.4</v>
      </c>
      <c r="Q130" s="651">
        <v>0</v>
      </c>
      <c r="R130" s="1925"/>
      <c r="S130" s="1389"/>
      <c r="T130" s="1897"/>
      <c r="U130" s="1938"/>
    </row>
    <row r="131" spans="1:26" s="525" customFormat="1" ht="13.5" customHeight="1" x14ac:dyDescent="0.2">
      <c r="A131" s="1929"/>
      <c r="B131" s="1931"/>
      <c r="C131" s="1915"/>
      <c r="D131" s="1876"/>
      <c r="E131" s="1918"/>
      <c r="F131" s="1920"/>
      <c r="G131" s="652" t="s">
        <v>13</v>
      </c>
      <c r="H131" s="653">
        <f>SUM(H128:H130)</f>
        <v>9.8000000000000007</v>
      </c>
      <c r="I131" s="654">
        <v>0</v>
      </c>
      <c r="J131" s="654">
        <f t="shared" ref="J131:Q131" si="54">SUM(J128:J130)</f>
        <v>7.6</v>
      </c>
      <c r="K131" s="655">
        <f t="shared" si="54"/>
        <v>0</v>
      </c>
      <c r="L131" s="653">
        <f t="shared" si="54"/>
        <v>9.4</v>
      </c>
      <c r="M131" s="654">
        <f t="shared" si="54"/>
        <v>9.4</v>
      </c>
      <c r="N131" s="654">
        <f t="shared" si="54"/>
        <v>7.6</v>
      </c>
      <c r="O131" s="655">
        <f t="shared" si="54"/>
        <v>0</v>
      </c>
      <c r="P131" s="656">
        <f t="shared" si="54"/>
        <v>6.4</v>
      </c>
      <c r="Q131" s="656">
        <f t="shared" si="54"/>
        <v>0</v>
      </c>
      <c r="R131" s="1926"/>
      <c r="S131" s="657">
        <f>+S128</f>
        <v>7</v>
      </c>
      <c r="T131" s="658">
        <v>0</v>
      </c>
      <c r="U131" s="659"/>
      <c r="V131" s="660"/>
      <c r="W131" s="660"/>
      <c r="X131" s="660"/>
      <c r="Y131" s="660"/>
      <c r="Z131" s="660"/>
    </row>
    <row r="132" spans="1:26" s="525" customFormat="1" ht="23.25" customHeight="1" x14ac:dyDescent="0.2">
      <c r="A132" s="1847" t="s">
        <v>17</v>
      </c>
      <c r="B132" s="1125" t="s">
        <v>18</v>
      </c>
      <c r="C132" s="1915" t="s">
        <v>22</v>
      </c>
      <c r="D132" s="1876" t="s">
        <v>470</v>
      </c>
      <c r="E132" s="1918" t="s">
        <v>468</v>
      </c>
      <c r="F132" s="1920" t="s">
        <v>17</v>
      </c>
      <c r="G132" s="578" t="s">
        <v>413</v>
      </c>
      <c r="H132" s="632">
        <v>1.1000000000000001</v>
      </c>
      <c r="I132" s="630">
        <v>1.1000000000000001</v>
      </c>
      <c r="J132" s="630">
        <v>0</v>
      </c>
      <c r="K132" s="650">
        <v>0</v>
      </c>
      <c r="L132" s="632">
        <v>0.4</v>
      </c>
      <c r="M132" s="630">
        <v>0.4</v>
      </c>
      <c r="N132" s="630">
        <v>0</v>
      </c>
      <c r="O132" s="650">
        <v>0</v>
      </c>
      <c r="P132" s="651">
        <v>2.1</v>
      </c>
      <c r="Q132" s="651">
        <v>3.6</v>
      </c>
      <c r="R132" s="1121" t="s">
        <v>449</v>
      </c>
      <c r="S132" s="326">
        <v>36</v>
      </c>
      <c r="T132" s="326">
        <v>36</v>
      </c>
      <c r="U132" s="560"/>
      <c r="V132" s="660"/>
      <c r="W132" s="660"/>
      <c r="X132" s="660"/>
      <c r="Y132" s="660"/>
      <c r="Z132" s="660"/>
    </row>
    <row r="133" spans="1:26" s="525" customFormat="1" ht="22.5" customHeight="1" thickBot="1" x14ac:dyDescent="0.25">
      <c r="A133" s="1847"/>
      <c r="B133" s="1125"/>
      <c r="C133" s="1916"/>
      <c r="D133" s="1917"/>
      <c r="E133" s="1919"/>
      <c r="F133" s="1921"/>
      <c r="G133" s="652" t="s">
        <v>13</v>
      </c>
      <c r="H133" s="653">
        <f>SUM(H132)</f>
        <v>1.1000000000000001</v>
      </c>
      <c r="I133" s="654">
        <f>SUM(I130:I132)</f>
        <v>10.9</v>
      </c>
      <c r="J133" s="654">
        <f>SUM(J132)</f>
        <v>0</v>
      </c>
      <c r="K133" s="655">
        <v>0</v>
      </c>
      <c r="L133" s="653">
        <f t="shared" ref="L133:Q133" si="55">SUM(L132)</f>
        <v>0.4</v>
      </c>
      <c r="M133" s="654">
        <f t="shared" si="55"/>
        <v>0.4</v>
      </c>
      <c r="N133" s="654">
        <f t="shared" si="55"/>
        <v>0</v>
      </c>
      <c r="O133" s="655">
        <f t="shared" si="55"/>
        <v>0</v>
      </c>
      <c r="P133" s="656">
        <f t="shared" si="55"/>
        <v>2.1</v>
      </c>
      <c r="Q133" s="656">
        <f t="shared" si="55"/>
        <v>3.6</v>
      </c>
      <c r="R133" s="1121"/>
      <c r="S133" s="661">
        <f>SUM(S132)</f>
        <v>36</v>
      </c>
      <c r="T133" s="661">
        <f>SUM(T132)</f>
        <v>36</v>
      </c>
      <c r="U133" s="662"/>
      <c r="V133" s="660"/>
      <c r="W133" s="660"/>
      <c r="X133" s="660"/>
      <c r="Y133" s="660"/>
      <c r="Z133" s="660"/>
    </row>
    <row r="134" spans="1:26" ht="16.5" customHeight="1" thickBot="1" x14ac:dyDescent="0.25">
      <c r="A134" s="663" t="s">
        <v>17</v>
      </c>
      <c r="B134" s="458" t="s">
        <v>18</v>
      </c>
      <c r="C134" s="1114" t="s">
        <v>14</v>
      </c>
      <c r="D134" s="1114"/>
      <c r="E134" s="1114"/>
      <c r="F134" s="1114"/>
      <c r="G134" s="1115"/>
      <c r="H134" s="620">
        <f>SUM(H85,H87,H105,H127,H131,H133)</f>
        <v>420.40000000000003</v>
      </c>
      <c r="I134" s="664">
        <f>SUM(I85,I87,I105,I127,I131,I133)</f>
        <v>378.59999999999997</v>
      </c>
      <c r="J134" s="664">
        <f>SUM(J85,J87,J105,J127,J131)</f>
        <v>144.69999999999999</v>
      </c>
      <c r="K134" s="618">
        <f>SUM(K85,K87,K105,K127,K131)</f>
        <v>41.8</v>
      </c>
      <c r="L134" s="620">
        <f>SUM(L85,L87,L105,L127,L131,L133)</f>
        <v>419.29999999999995</v>
      </c>
      <c r="M134" s="664">
        <f>SUM(M85,M87,M105,M127,M131,M133)</f>
        <v>377.49999999999994</v>
      </c>
      <c r="N134" s="664">
        <f>SUM(N85,N87,N105,N127,N131)</f>
        <v>144.69999999999999</v>
      </c>
      <c r="O134" s="618">
        <f>SUM(O85,O87,O105,O127,O131)</f>
        <v>41.8</v>
      </c>
      <c r="P134" s="619">
        <f>SUM(P85,P87,P105,P127,P131,P133)</f>
        <v>326</v>
      </c>
      <c r="Q134" s="619">
        <f>SUM(Q85,Q87,Q105,Q127,Q131,Q133)</f>
        <v>536.6</v>
      </c>
      <c r="R134" s="621" t="s">
        <v>23</v>
      </c>
      <c r="S134" s="665" t="s">
        <v>442</v>
      </c>
      <c r="T134" s="666" t="s">
        <v>442</v>
      </c>
      <c r="U134" s="618" t="s">
        <v>23</v>
      </c>
    </row>
    <row r="135" spans="1:26" ht="14.25" customHeight="1" thickBot="1" x14ac:dyDescent="0.25">
      <c r="A135" s="667" t="s">
        <v>17</v>
      </c>
      <c r="B135" s="534" t="s">
        <v>19</v>
      </c>
      <c r="C135" s="1906" t="s">
        <v>471</v>
      </c>
      <c r="D135" s="1907"/>
      <c r="E135" s="1907"/>
      <c r="F135" s="1907"/>
      <c r="G135" s="1907"/>
      <c r="H135" s="1907"/>
      <c r="I135" s="1907"/>
      <c r="J135" s="1907"/>
      <c r="K135" s="1907"/>
      <c r="L135" s="1907"/>
      <c r="M135" s="1907"/>
      <c r="N135" s="1907"/>
      <c r="O135" s="1907"/>
      <c r="P135" s="1907"/>
      <c r="Q135" s="1907"/>
      <c r="R135" s="1907"/>
      <c r="S135" s="1907"/>
      <c r="T135" s="1907"/>
      <c r="U135" s="1908"/>
    </row>
    <row r="136" spans="1:26" s="573" customFormat="1" ht="42" customHeight="1" thickBot="1" x14ac:dyDescent="0.25">
      <c r="A136" s="1860" t="s">
        <v>17</v>
      </c>
      <c r="B136" s="1141" t="s">
        <v>19</v>
      </c>
      <c r="C136" s="1142" t="s">
        <v>17</v>
      </c>
      <c r="D136" s="1301" t="s">
        <v>472</v>
      </c>
      <c r="E136" s="1894" t="s">
        <v>473</v>
      </c>
      <c r="F136" s="1861" t="s">
        <v>378</v>
      </c>
      <c r="G136" s="275" t="s">
        <v>413</v>
      </c>
      <c r="H136" s="336">
        <v>159.1</v>
      </c>
      <c r="I136" s="338">
        <v>159.1</v>
      </c>
      <c r="J136" s="338">
        <v>0</v>
      </c>
      <c r="K136" s="311">
        <v>0</v>
      </c>
      <c r="L136" s="336">
        <v>154</v>
      </c>
      <c r="M136" s="338">
        <v>154</v>
      </c>
      <c r="N136" s="338">
        <v>0</v>
      </c>
      <c r="O136" s="311">
        <v>0</v>
      </c>
      <c r="P136" s="535">
        <v>131.4</v>
      </c>
      <c r="Q136" s="535">
        <v>219.8</v>
      </c>
      <c r="R136" s="1909" t="s">
        <v>474</v>
      </c>
      <c r="S136" s="668">
        <v>126</v>
      </c>
      <c r="T136" s="372">
        <v>126</v>
      </c>
      <c r="U136" s="669"/>
    </row>
    <row r="137" spans="1:26" ht="25.5" customHeight="1" x14ac:dyDescent="0.2">
      <c r="A137" s="1847"/>
      <c r="B137" s="1125"/>
      <c r="C137" s="1127"/>
      <c r="D137" s="1302"/>
      <c r="E137" s="1848"/>
      <c r="F137" s="1862"/>
      <c r="G137" s="279" t="s">
        <v>13</v>
      </c>
      <c r="H137" s="287">
        <f>SUM(H136:H136)</f>
        <v>159.1</v>
      </c>
      <c r="I137" s="288">
        <f t="shared" ref="I137:Q137" si="56">SUM(I136:I136)</f>
        <v>159.1</v>
      </c>
      <c r="J137" s="288">
        <f t="shared" si="56"/>
        <v>0</v>
      </c>
      <c r="K137" s="289">
        <f t="shared" si="56"/>
        <v>0</v>
      </c>
      <c r="L137" s="287">
        <f t="shared" si="56"/>
        <v>154</v>
      </c>
      <c r="M137" s="288">
        <f t="shared" si="56"/>
        <v>154</v>
      </c>
      <c r="N137" s="288">
        <f t="shared" si="56"/>
        <v>0</v>
      </c>
      <c r="O137" s="289">
        <f t="shared" si="56"/>
        <v>0</v>
      </c>
      <c r="P137" s="567">
        <f t="shared" si="56"/>
        <v>131.4</v>
      </c>
      <c r="Q137" s="567">
        <f t="shared" si="56"/>
        <v>219.8</v>
      </c>
      <c r="R137" s="1910"/>
      <c r="S137" s="670">
        <f>SUM(S136:S136)</f>
        <v>126</v>
      </c>
      <c r="T137" s="313">
        <f>SUM(T136:T136)</f>
        <v>126</v>
      </c>
      <c r="U137" s="289"/>
    </row>
    <row r="138" spans="1:26" ht="13.5" customHeight="1" x14ac:dyDescent="0.2">
      <c r="A138" s="1847" t="s">
        <v>17</v>
      </c>
      <c r="B138" s="1125" t="s">
        <v>19</v>
      </c>
      <c r="C138" s="1127" t="s">
        <v>18</v>
      </c>
      <c r="D138" s="1302" t="s">
        <v>475</v>
      </c>
      <c r="E138" s="1848" t="s">
        <v>473</v>
      </c>
      <c r="F138" s="1862" t="s">
        <v>378</v>
      </c>
      <c r="G138" s="1905" t="s">
        <v>224</v>
      </c>
      <c r="H138" s="1389">
        <v>286</v>
      </c>
      <c r="I138" s="1390">
        <v>286</v>
      </c>
      <c r="J138" s="1390">
        <v>0</v>
      </c>
      <c r="K138" s="1377">
        <v>0</v>
      </c>
      <c r="L138" s="1389">
        <v>285.39999999999998</v>
      </c>
      <c r="M138" s="1390">
        <v>285.39999999999998</v>
      </c>
      <c r="N138" s="1390">
        <v>0</v>
      </c>
      <c r="O138" s="1377">
        <v>0</v>
      </c>
      <c r="P138" s="1904">
        <v>190</v>
      </c>
      <c r="Q138" s="1904">
        <v>210.5</v>
      </c>
      <c r="R138" s="1914" t="s">
        <v>474</v>
      </c>
      <c r="S138" s="1911">
        <v>65</v>
      </c>
      <c r="T138" s="1912">
        <v>65</v>
      </c>
      <c r="U138" s="1844"/>
    </row>
    <row r="139" spans="1:26" ht="31.5" customHeight="1" x14ac:dyDescent="0.2">
      <c r="A139" s="1847"/>
      <c r="B139" s="1125"/>
      <c r="C139" s="1127"/>
      <c r="D139" s="1302"/>
      <c r="E139" s="1848"/>
      <c r="F139" s="1862"/>
      <c r="G139" s="1905"/>
      <c r="H139" s="1389"/>
      <c r="I139" s="1390"/>
      <c r="J139" s="1390"/>
      <c r="K139" s="1377"/>
      <c r="L139" s="1389"/>
      <c r="M139" s="1390"/>
      <c r="N139" s="1390"/>
      <c r="O139" s="1377"/>
      <c r="P139" s="1904"/>
      <c r="Q139" s="1904"/>
      <c r="R139" s="1914"/>
      <c r="S139" s="1911"/>
      <c r="T139" s="1913"/>
      <c r="U139" s="1846"/>
    </row>
    <row r="140" spans="1:26" ht="25.5" customHeight="1" x14ac:dyDescent="0.2">
      <c r="A140" s="1847"/>
      <c r="B140" s="1125"/>
      <c r="C140" s="1127"/>
      <c r="D140" s="1302"/>
      <c r="E140" s="1848"/>
      <c r="F140" s="1862"/>
      <c r="G140" s="279" t="s">
        <v>13</v>
      </c>
      <c r="H140" s="287">
        <f>SUM(H138:H139)</f>
        <v>286</v>
      </c>
      <c r="I140" s="288">
        <f t="shared" ref="I140:Q140" si="57">SUM(I138:I139)</f>
        <v>286</v>
      </c>
      <c r="J140" s="288">
        <f t="shared" si="57"/>
        <v>0</v>
      </c>
      <c r="K140" s="289">
        <f t="shared" si="57"/>
        <v>0</v>
      </c>
      <c r="L140" s="287">
        <f t="shared" si="57"/>
        <v>285.39999999999998</v>
      </c>
      <c r="M140" s="288">
        <f t="shared" si="57"/>
        <v>285.39999999999998</v>
      </c>
      <c r="N140" s="288">
        <f t="shared" si="57"/>
        <v>0</v>
      </c>
      <c r="O140" s="289">
        <f t="shared" si="57"/>
        <v>0</v>
      </c>
      <c r="P140" s="567">
        <f t="shared" si="57"/>
        <v>190</v>
      </c>
      <c r="Q140" s="567">
        <f t="shared" si="57"/>
        <v>210.5</v>
      </c>
      <c r="R140" s="1914"/>
      <c r="S140" s="287">
        <f>SUM(S138:S139)</f>
        <v>65</v>
      </c>
      <c r="T140" s="313">
        <f>SUM(T138:T139)</f>
        <v>65</v>
      </c>
      <c r="U140" s="289"/>
    </row>
    <row r="141" spans="1:26" ht="17.25" customHeight="1" x14ac:dyDescent="0.2">
      <c r="A141" s="1847" t="s">
        <v>17</v>
      </c>
      <c r="B141" s="1125" t="s">
        <v>19</v>
      </c>
      <c r="C141" s="1127" t="s">
        <v>19</v>
      </c>
      <c r="D141" s="1302" t="s">
        <v>476</v>
      </c>
      <c r="E141" s="1848" t="s">
        <v>477</v>
      </c>
      <c r="F141" s="1862" t="s">
        <v>378</v>
      </c>
      <c r="G141" s="1905" t="s">
        <v>73</v>
      </c>
      <c r="H141" s="1389"/>
      <c r="I141" s="1390"/>
      <c r="J141" s="1390">
        <v>0</v>
      </c>
      <c r="K141" s="1377">
        <v>0</v>
      </c>
      <c r="L141" s="1389"/>
      <c r="M141" s="1390"/>
      <c r="N141" s="1390">
        <v>0</v>
      </c>
      <c r="O141" s="1377">
        <v>0</v>
      </c>
      <c r="P141" s="1904">
        <v>10.5</v>
      </c>
      <c r="Q141" s="1904">
        <v>22</v>
      </c>
      <c r="R141" s="1888" t="s">
        <v>478</v>
      </c>
      <c r="S141" s="1389">
        <v>1</v>
      </c>
      <c r="T141" s="1896">
        <v>1</v>
      </c>
      <c r="U141" s="1901"/>
      <c r="V141" s="537"/>
      <c r="W141" s="537"/>
      <c r="X141" s="537"/>
    </row>
    <row r="142" spans="1:26" ht="25.5" hidden="1" customHeight="1" x14ac:dyDescent="0.2">
      <c r="A142" s="1847"/>
      <c r="B142" s="1125"/>
      <c r="C142" s="1127"/>
      <c r="D142" s="1302"/>
      <c r="E142" s="1848"/>
      <c r="F142" s="1862"/>
      <c r="G142" s="1905"/>
      <c r="H142" s="1389"/>
      <c r="I142" s="1390"/>
      <c r="J142" s="1390"/>
      <c r="K142" s="1377"/>
      <c r="L142" s="1389"/>
      <c r="M142" s="1390"/>
      <c r="N142" s="1390"/>
      <c r="O142" s="1377"/>
      <c r="P142" s="1904"/>
      <c r="Q142" s="1904"/>
      <c r="R142" s="1888"/>
      <c r="S142" s="1389"/>
      <c r="T142" s="1900"/>
      <c r="U142" s="1902"/>
      <c r="V142" s="537"/>
      <c r="W142" s="537"/>
      <c r="X142" s="537"/>
    </row>
    <row r="143" spans="1:26" ht="19.5" customHeight="1" x14ac:dyDescent="0.2">
      <c r="A143" s="1847"/>
      <c r="B143" s="1125"/>
      <c r="C143" s="1127"/>
      <c r="D143" s="1302"/>
      <c r="E143" s="1848"/>
      <c r="F143" s="1862"/>
      <c r="G143" s="306" t="s">
        <v>224</v>
      </c>
      <c r="H143" s="325">
        <v>5</v>
      </c>
      <c r="I143" s="326">
        <v>5</v>
      </c>
      <c r="J143" s="326">
        <v>0</v>
      </c>
      <c r="K143" s="393"/>
      <c r="L143" s="325">
        <v>0.7</v>
      </c>
      <c r="M143" s="326">
        <v>0.7</v>
      </c>
      <c r="N143" s="326">
        <v>0</v>
      </c>
      <c r="O143" s="393"/>
      <c r="P143" s="391">
        <v>5</v>
      </c>
      <c r="Q143" s="391">
        <v>7</v>
      </c>
      <c r="R143" s="1888"/>
      <c r="S143" s="1389"/>
      <c r="T143" s="1897"/>
      <c r="U143" s="1903"/>
      <c r="V143" s="537"/>
      <c r="W143" s="537"/>
      <c r="X143" s="537"/>
    </row>
    <row r="144" spans="1:26" ht="20.25" customHeight="1" x14ac:dyDescent="0.2">
      <c r="A144" s="1847"/>
      <c r="B144" s="1125"/>
      <c r="C144" s="1127"/>
      <c r="D144" s="1302"/>
      <c r="E144" s="1848"/>
      <c r="F144" s="1862"/>
      <c r="G144" s="671" t="s">
        <v>13</v>
      </c>
      <c r="H144" s="540">
        <f>SUM(H141:H143)</f>
        <v>5</v>
      </c>
      <c r="I144" s="538">
        <f t="shared" ref="I144:Q144" si="58">SUM(I141:I143)</f>
        <v>5</v>
      </c>
      <c r="J144" s="538">
        <f t="shared" si="58"/>
        <v>0</v>
      </c>
      <c r="K144" s="539">
        <f t="shared" si="58"/>
        <v>0</v>
      </c>
      <c r="L144" s="540">
        <f t="shared" si="58"/>
        <v>0.7</v>
      </c>
      <c r="M144" s="538">
        <f t="shared" si="58"/>
        <v>0.7</v>
      </c>
      <c r="N144" s="538">
        <f t="shared" si="58"/>
        <v>0</v>
      </c>
      <c r="O144" s="539">
        <f t="shared" si="58"/>
        <v>0</v>
      </c>
      <c r="P144" s="542">
        <f t="shared" si="58"/>
        <v>15.5</v>
      </c>
      <c r="Q144" s="542">
        <f t="shared" si="58"/>
        <v>29</v>
      </c>
      <c r="R144" s="1888"/>
      <c r="S144" s="540">
        <f>SUM(S141:S142)</f>
        <v>1</v>
      </c>
      <c r="T144" s="541">
        <f>SUM(T141:T142)</f>
        <v>1</v>
      </c>
      <c r="U144" s="539"/>
      <c r="V144" s="537"/>
      <c r="W144" s="537"/>
      <c r="X144" s="537"/>
    </row>
    <row r="145" spans="1:26" ht="15.75" customHeight="1" x14ac:dyDescent="0.2">
      <c r="A145" s="1847" t="s">
        <v>17</v>
      </c>
      <c r="B145" s="1125" t="s">
        <v>19</v>
      </c>
      <c r="C145" s="1127" t="s">
        <v>20</v>
      </c>
      <c r="D145" s="1302" t="s">
        <v>479</v>
      </c>
      <c r="E145" s="1848" t="s">
        <v>480</v>
      </c>
      <c r="F145" s="1862" t="s">
        <v>481</v>
      </c>
      <c r="G145" s="306" t="s">
        <v>73</v>
      </c>
      <c r="H145" s="325">
        <v>32.6</v>
      </c>
      <c r="I145" s="326">
        <v>32.6</v>
      </c>
      <c r="J145" s="326"/>
      <c r="K145" s="393">
        <v>0</v>
      </c>
      <c r="L145" s="325">
        <v>32.6</v>
      </c>
      <c r="M145" s="326">
        <v>32.6</v>
      </c>
      <c r="N145" s="326"/>
      <c r="O145" s="393">
        <v>0</v>
      </c>
      <c r="P145" s="391">
        <v>30</v>
      </c>
      <c r="Q145" s="391">
        <v>34.6</v>
      </c>
      <c r="R145" s="1888" t="s">
        <v>482</v>
      </c>
      <c r="S145" s="1294">
        <v>330</v>
      </c>
      <c r="T145" s="1896">
        <v>330</v>
      </c>
      <c r="U145" s="1898"/>
      <c r="V145" s="537"/>
      <c r="W145" s="537"/>
      <c r="X145" s="537"/>
    </row>
    <row r="146" spans="1:26" ht="21.75" customHeight="1" x14ac:dyDescent="0.2">
      <c r="A146" s="1847"/>
      <c r="B146" s="1125"/>
      <c r="C146" s="1127"/>
      <c r="D146" s="1302"/>
      <c r="E146" s="1848"/>
      <c r="F146" s="1862"/>
      <c r="G146" s="306" t="s">
        <v>224</v>
      </c>
      <c r="H146" s="325">
        <v>6.1</v>
      </c>
      <c r="I146" s="326">
        <v>6.1</v>
      </c>
      <c r="J146" s="326">
        <v>0</v>
      </c>
      <c r="K146" s="393">
        <v>0</v>
      </c>
      <c r="L146" s="325">
        <v>6.1</v>
      </c>
      <c r="M146" s="326">
        <v>6.1</v>
      </c>
      <c r="N146" s="326">
        <v>0</v>
      </c>
      <c r="O146" s="393">
        <v>0</v>
      </c>
      <c r="P146" s="391">
        <v>4</v>
      </c>
      <c r="Q146" s="391">
        <v>3</v>
      </c>
      <c r="R146" s="1888"/>
      <c r="S146" s="1295"/>
      <c r="T146" s="1897"/>
      <c r="U146" s="1899"/>
      <c r="V146" s="537"/>
      <c r="W146" s="537"/>
      <c r="X146" s="537"/>
    </row>
    <row r="147" spans="1:26" ht="21.75" customHeight="1" x14ac:dyDescent="0.2">
      <c r="A147" s="1847"/>
      <c r="B147" s="1125"/>
      <c r="C147" s="1127"/>
      <c r="D147" s="1302"/>
      <c r="E147" s="1848"/>
      <c r="F147" s="1862"/>
      <c r="G147" s="671" t="s">
        <v>13</v>
      </c>
      <c r="H147" s="540">
        <f t="shared" ref="H147:Q147" si="59">SUM(H145:H146)</f>
        <v>38.700000000000003</v>
      </c>
      <c r="I147" s="538">
        <f t="shared" si="59"/>
        <v>38.700000000000003</v>
      </c>
      <c r="J147" s="538">
        <f t="shared" si="59"/>
        <v>0</v>
      </c>
      <c r="K147" s="539">
        <f t="shared" si="59"/>
        <v>0</v>
      </c>
      <c r="L147" s="540">
        <f t="shared" si="59"/>
        <v>38.700000000000003</v>
      </c>
      <c r="M147" s="538">
        <f t="shared" si="59"/>
        <v>38.700000000000003</v>
      </c>
      <c r="N147" s="538">
        <f t="shared" si="59"/>
        <v>0</v>
      </c>
      <c r="O147" s="539">
        <f t="shared" si="59"/>
        <v>0</v>
      </c>
      <c r="P147" s="542">
        <f t="shared" si="59"/>
        <v>34</v>
      </c>
      <c r="Q147" s="542">
        <f t="shared" si="59"/>
        <v>37.6</v>
      </c>
      <c r="R147" s="1888"/>
      <c r="S147" s="540">
        <f>SUM(S145:S145)</f>
        <v>330</v>
      </c>
      <c r="T147" s="541">
        <f>SUM(T145:T145)</f>
        <v>330</v>
      </c>
      <c r="U147" s="539"/>
      <c r="V147" s="537"/>
      <c r="W147" s="537"/>
      <c r="X147" s="537"/>
    </row>
    <row r="148" spans="1:26" ht="21.75" customHeight="1" x14ac:dyDescent="0.2">
      <c r="A148" s="1124" t="s">
        <v>17</v>
      </c>
      <c r="B148" s="1126" t="s">
        <v>19</v>
      </c>
      <c r="C148" s="1128" t="s">
        <v>21</v>
      </c>
      <c r="D148" s="1892" t="s">
        <v>483</v>
      </c>
      <c r="E148" s="1839"/>
      <c r="F148" s="1895" t="s">
        <v>378</v>
      </c>
      <c r="G148" s="333" t="s">
        <v>225</v>
      </c>
      <c r="H148" s="558"/>
      <c r="I148" s="559"/>
      <c r="J148" s="559"/>
      <c r="K148" s="560"/>
      <c r="L148" s="558"/>
      <c r="M148" s="559"/>
      <c r="N148" s="559"/>
      <c r="O148" s="560"/>
      <c r="P148" s="562"/>
      <c r="Q148" s="562"/>
      <c r="R148" s="672"/>
      <c r="S148" s="558"/>
      <c r="T148" s="561"/>
      <c r="U148" s="560"/>
      <c r="V148" s="537"/>
      <c r="W148" s="537"/>
      <c r="X148" s="537"/>
    </row>
    <row r="149" spans="1:26" ht="21.75" customHeight="1" x14ac:dyDescent="0.2">
      <c r="A149" s="1860"/>
      <c r="B149" s="1141"/>
      <c r="C149" s="1142"/>
      <c r="D149" s="1893"/>
      <c r="E149" s="1894"/>
      <c r="F149" s="1861"/>
      <c r="G149" s="671" t="s">
        <v>484</v>
      </c>
      <c r="H149" s="540">
        <f t="shared" ref="H149:Q149" si="60">+H148</f>
        <v>0</v>
      </c>
      <c r="I149" s="538">
        <f t="shared" si="60"/>
        <v>0</v>
      </c>
      <c r="J149" s="538">
        <f t="shared" si="60"/>
        <v>0</v>
      </c>
      <c r="K149" s="539">
        <f t="shared" si="60"/>
        <v>0</v>
      </c>
      <c r="L149" s="540">
        <f t="shared" si="60"/>
        <v>0</v>
      </c>
      <c r="M149" s="538">
        <f t="shared" si="60"/>
        <v>0</v>
      </c>
      <c r="N149" s="538">
        <f t="shared" si="60"/>
        <v>0</v>
      </c>
      <c r="O149" s="539">
        <f t="shared" si="60"/>
        <v>0</v>
      </c>
      <c r="P149" s="542">
        <f t="shared" si="60"/>
        <v>0</v>
      </c>
      <c r="Q149" s="542">
        <f t="shared" si="60"/>
        <v>0</v>
      </c>
      <c r="R149" s="672"/>
      <c r="S149" s="540">
        <f>+S148</f>
        <v>0</v>
      </c>
      <c r="T149" s="541">
        <f>+T148</f>
        <v>0</v>
      </c>
      <c r="U149" s="539"/>
      <c r="V149" s="537"/>
      <c r="W149" s="537"/>
      <c r="X149" s="537"/>
    </row>
    <row r="150" spans="1:26" ht="21.75" customHeight="1" x14ac:dyDescent="0.2">
      <c r="A150" s="1124" t="s">
        <v>17</v>
      </c>
      <c r="B150" s="1126" t="s">
        <v>19</v>
      </c>
      <c r="C150" s="1128" t="s">
        <v>22</v>
      </c>
      <c r="D150" s="1892" t="s">
        <v>485</v>
      </c>
      <c r="E150" s="1839"/>
      <c r="F150" s="1895"/>
      <c r="G150" s="333" t="s">
        <v>224</v>
      </c>
      <c r="H150" s="558">
        <v>5.9</v>
      </c>
      <c r="I150" s="559">
        <v>5.9</v>
      </c>
      <c r="J150" s="559"/>
      <c r="K150" s="560"/>
      <c r="L150" s="558">
        <v>5.7</v>
      </c>
      <c r="M150" s="559">
        <v>5.7</v>
      </c>
      <c r="N150" s="559"/>
      <c r="O150" s="560"/>
      <c r="P150" s="562">
        <v>5.9</v>
      </c>
      <c r="Q150" s="562">
        <v>5.9</v>
      </c>
      <c r="R150" s="672"/>
      <c r="S150" s="558">
        <v>15</v>
      </c>
      <c r="T150" s="561">
        <v>15</v>
      </c>
      <c r="U150" s="560"/>
      <c r="V150" s="537"/>
      <c r="W150" s="537"/>
      <c r="X150" s="537"/>
    </row>
    <row r="151" spans="1:26" ht="21.75" customHeight="1" x14ac:dyDescent="0.2">
      <c r="A151" s="1860"/>
      <c r="B151" s="1141"/>
      <c r="C151" s="1142"/>
      <c r="D151" s="1893"/>
      <c r="E151" s="1894"/>
      <c r="F151" s="1861"/>
      <c r="G151" s="671" t="s">
        <v>13</v>
      </c>
      <c r="H151" s="540">
        <f t="shared" ref="H151:Q151" si="61">+H150</f>
        <v>5.9</v>
      </c>
      <c r="I151" s="538">
        <f t="shared" si="61"/>
        <v>5.9</v>
      </c>
      <c r="J151" s="538">
        <f t="shared" si="61"/>
        <v>0</v>
      </c>
      <c r="K151" s="539">
        <f t="shared" si="61"/>
        <v>0</v>
      </c>
      <c r="L151" s="540">
        <f t="shared" si="61"/>
        <v>5.7</v>
      </c>
      <c r="M151" s="538">
        <f t="shared" si="61"/>
        <v>5.7</v>
      </c>
      <c r="N151" s="538">
        <f t="shared" si="61"/>
        <v>0</v>
      </c>
      <c r="O151" s="539">
        <f t="shared" si="61"/>
        <v>0</v>
      </c>
      <c r="P151" s="542">
        <f t="shared" si="61"/>
        <v>5.9</v>
      </c>
      <c r="Q151" s="542">
        <f t="shared" si="61"/>
        <v>5.9</v>
      </c>
      <c r="R151" s="672"/>
      <c r="S151" s="540"/>
      <c r="T151" s="541"/>
      <c r="U151" s="539"/>
      <c r="V151" s="537"/>
      <c r="W151" s="537"/>
      <c r="X151" s="537"/>
    </row>
    <row r="152" spans="1:26" ht="21.75" customHeight="1" x14ac:dyDescent="0.2">
      <c r="A152" s="1847" t="s">
        <v>17</v>
      </c>
      <c r="B152" s="1889" t="s">
        <v>19</v>
      </c>
      <c r="C152" s="1191" t="s">
        <v>378</v>
      </c>
      <c r="D152" s="1876" t="s">
        <v>486</v>
      </c>
      <c r="E152" s="1862"/>
      <c r="F152" s="1877" t="s">
        <v>378</v>
      </c>
      <c r="G152" s="306" t="s">
        <v>225</v>
      </c>
      <c r="H152" s="644">
        <v>0</v>
      </c>
      <c r="I152" s="634">
        <v>0</v>
      </c>
      <c r="J152" s="634">
        <v>0</v>
      </c>
      <c r="K152" s="637">
        <v>0</v>
      </c>
      <c r="L152" s="644">
        <v>0</v>
      </c>
      <c r="M152" s="634">
        <v>0</v>
      </c>
      <c r="N152" s="634">
        <v>0</v>
      </c>
      <c r="O152" s="637"/>
      <c r="P152" s="638">
        <v>0</v>
      </c>
      <c r="Q152" s="638">
        <v>0</v>
      </c>
      <c r="R152" s="1888" t="s">
        <v>487</v>
      </c>
      <c r="S152" s="325">
        <v>0</v>
      </c>
      <c r="T152" s="291">
        <v>0</v>
      </c>
      <c r="U152" s="563"/>
    </row>
    <row r="153" spans="1:26" ht="22.5" customHeight="1" x14ac:dyDescent="0.2">
      <c r="A153" s="1847"/>
      <c r="B153" s="1889"/>
      <c r="C153" s="1191"/>
      <c r="D153" s="1891"/>
      <c r="E153" s="1862"/>
      <c r="F153" s="1877"/>
      <c r="G153" s="550" t="s">
        <v>13</v>
      </c>
      <c r="H153" s="673">
        <f>SUM(H152)</f>
        <v>0</v>
      </c>
      <c r="I153" s="674">
        <f t="shared" ref="I153:Q153" si="62">SUM(I152)</f>
        <v>0</v>
      </c>
      <c r="J153" s="674">
        <f t="shared" si="62"/>
        <v>0</v>
      </c>
      <c r="K153" s="675">
        <f t="shared" si="62"/>
        <v>0</v>
      </c>
      <c r="L153" s="673">
        <f t="shared" si="62"/>
        <v>0</v>
      </c>
      <c r="M153" s="674">
        <f t="shared" si="62"/>
        <v>0</v>
      </c>
      <c r="N153" s="674">
        <f t="shared" si="62"/>
        <v>0</v>
      </c>
      <c r="O153" s="675">
        <f t="shared" si="62"/>
        <v>0</v>
      </c>
      <c r="P153" s="676">
        <f t="shared" si="62"/>
        <v>0</v>
      </c>
      <c r="Q153" s="676">
        <f t="shared" si="62"/>
        <v>0</v>
      </c>
      <c r="R153" s="1888"/>
      <c r="S153" s="551">
        <f>S152</f>
        <v>0</v>
      </c>
      <c r="T153" s="554">
        <f>T152</f>
        <v>0</v>
      </c>
      <c r="U153" s="289"/>
    </row>
    <row r="154" spans="1:26" ht="21.75" hidden="1" customHeight="1" outlineLevel="1" x14ac:dyDescent="0.2">
      <c r="A154" s="1847" t="s">
        <v>17</v>
      </c>
      <c r="B154" s="1889" t="s">
        <v>19</v>
      </c>
      <c r="C154" s="1191" t="s">
        <v>398</v>
      </c>
      <c r="D154" s="1890" t="s">
        <v>488</v>
      </c>
      <c r="E154" s="1862" t="s">
        <v>489</v>
      </c>
      <c r="F154" s="1877" t="s">
        <v>490</v>
      </c>
      <c r="G154" s="306" t="s">
        <v>73</v>
      </c>
      <c r="H154" s="644"/>
      <c r="I154" s="634"/>
      <c r="J154" s="634"/>
      <c r="K154" s="637"/>
      <c r="L154" s="644"/>
      <c r="M154" s="634"/>
      <c r="N154" s="634"/>
      <c r="O154" s="637"/>
      <c r="P154" s="638"/>
      <c r="Q154" s="644"/>
      <c r="R154" s="1888" t="s">
        <v>487</v>
      </c>
      <c r="S154" s="325"/>
      <c r="T154" s="326"/>
      <c r="U154" s="563"/>
    </row>
    <row r="155" spans="1:26" ht="22.5" hidden="1" customHeight="1" outlineLevel="1" x14ac:dyDescent="0.2">
      <c r="A155" s="1847"/>
      <c r="B155" s="1889"/>
      <c r="C155" s="1191"/>
      <c r="D155" s="1890"/>
      <c r="E155" s="1862"/>
      <c r="F155" s="1877"/>
      <c r="G155" s="550" t="s">
        <v>13</v>
      </c>
      <c r="H155" s="673">
        <f>SUM(H154)</f>
        <v>0</v>
      </c>
      <c r="I155" s="674">
        <f t="shared" ref="I155:Q155" si="63">SUM(I154)</f>
        <v>0</v>
      </c>
      <c r="J155" s="674">
        <f t="shared" si="63"/>
        <v>0</v>
      </c>
      <c r="K155" s="675">
        <f t="shared" si="63"/>
        <v>0</v>
      </c>
      <c r="L155" s="673">
        <f t="shared" si="63"/>
        <v>0</v>
      </c>
      <c r="M155" s="674">
        <f t="shared" si="63"/>
        <v>0</v>
      </c>
      <c r="N155" s="674">
        <f t="shared" si="63"/>
        <v>0</v>
      </c>
      <c r="O155" s="675">
        <f t="shared" si="63"/>
        <v>0</v>
      </c>
      <c r="P155" s="676">
        <f t="shared" si="63"/>
        <v>0</v>
      </c>
      <c r="Q155" s="673">
        <f t="shared" si="63"/>
        <v>0</v>
      </c>
      <c r="R155" s="1888"/>
      <c r="S155" s="551">
        <f>S154</f>
        <v>0</v>
      </c>
      <c r="T155" s="552">
        <f>T154</f>
        <v>0</v>
      </c>
      <c r="U155" s="563"/>
    </row>
    <row r="156" spans="1:26" ht="21.75" hidden="1" customHeight="1" outlineLevel="1" x14ac:dyDescent="0.2">
      <c r="A156" s="1847" t="s">
        <v>17</v>
      </c>
      <c r="B156" s="1889" t="s">
        <v>19</v>
      </c>
      <c r="C156" s="1191" t="s">
        <v>399</v>
      </c>
      <c r="D156" s="1890" t="s">
        <v>488</v>
      </c>
      <c r="E156" s="1862" t="s">
        <v>489</v>
      </c>
      <c r="F156" s="1877" t="s">
        <v>491</v>
      </c>
      <c r="G156" s="306" t="s">
        <v>73</v>
      </c>
      <c r="H156" s="644"/>
      <c r="I156" s="634"/>
      <c r="J156" s="634"/>
      <c r="K156" s="637"/>
      <c r="L156" s="644"/>
      <c r="M156" s="634"/>
      <c r="N156" s="634"/>
      <c r="O156" s="637"/>
      <c r="P156" s="638"/>
      <c r="Q156" s="644"/>
      <c r="R156" s="1888" t="s">
        <v>487</v>
      </c>
      <c r="S156" s="325"/>
      <c r="T156" s="326"/>
      <c r="U156" s="563"/>
    </row>
    <row r="157" spans="1:26" ht="22.5" hidden="1" customHeight="1" outlineLevel="1" x14ac:dyDescent="0.2">
      <c r="A157" s="1847"/>
      <c r="B157" s="1889"/>
      <c r="C157" s="1191"/>
      <c r="D157" s="1890"/>
      <c r="E157" s="1862"/>
      <c r="F157" s="1877"/>
      <c r="G157" s="550" t="s">
        <v>13</v>
      </c>
      <c r="H157" s="673">
        <f>SUM(H156)</f>
        <v>0</v>
      </c>
      <c r="I157" s="674">
        <f t="shared" ref="I157:Q157" si="64">SUM(I156)</f>
        <v>0</v>
      </c>
      <c r="J157" s="674">
        <f t="shared" si="64"/>
        <v>0</v>
      </c>
      <c r="K157" s="675">
        <f t="shared" si="64"/>
        <v>0</v>
      </c>
      <c r="L157" s="673">
        <f t="shared" si="64"/>
        <v>0</v>
      </c>
      <c r="M157" s="674">
        <f t="shared" si="64"/>
        <v>0</v>
      </c>
      <c r="N157" s="674">
        <f t="shared" si="64"/>
        <v>0</v>
      </c>
      <c r="O157" s="675">
        <f t="shared" si="64"/>
        <v>0</v>
      </c>
      <c r="P157" s="676">
        <f t="shared" si="64"/>
        <v>0</v>
      </c>
      <c r="Q157" s="673">
        <f t="shared" si="64"/>
        <v>0</v>
      </c>
      <c r="R157" s="1888"/>
      <c r="S157" s="551">
        <f>S156</f>
        <v>0</v>
      </c>
      <c r="T157" s="552">
        <f>T156</f>
        <v>0</v>
      </c>
      <c r="U157" s="563"/>
    </row>
    <row r="158" spans="1:26" ht="21.75" hidden="1" customHeight="1" outlineLevel="1" x14ac:dyDescent="0.2">
      <c r="A158" s="1847" t="s">
        <v>17</v>
      </c>
      <c r="B158" s="1889" t="s">
        <v>19</v>
      </c>
      <c r="C158" s="1191" t="s">
        <v>400</v>
      </c>
      <c r="D158" s="1890" t="s">
        <v>488</v>
      </c>
      <c r="E158" s="1862" t="s">
        <v>489</v>
      </c>
      <c r="F158" s="1877" t="s">
        <v>492</v>
      </c>
      <c r="G158" s="306" t="s">
        <v>73</v>
      </c>
      <c r="H158" s="644"/>
      <c r="I158" s="634"/>
      <c r="J158" s="634"/>
      <c r="K158" s="637"/>
      <c r="L158" s="644"/>
      <c r="M158" s="634"/>
      <c r="N158" s="634"/>
      <c r="O158" s="637"/>
      <c r="P158" s="638"/>
      <c r="Q158" s="644"/>
      <c r="R158" s="1888" t="s">
        <v>487</v>
      </c>
      <c r="S158" s="325"/>
      <c r="T158" s="326"/>
      <c r="U158" s="563"/>
    </row>
    <row r="159" spans="1:26" ht="22.5" hidden="1" customHeight="1" outlineLevel="1" x14ac:dyDescent="0.2">
      <c r="A159" s="1847"/>
      <c r="B159" s="1889"/>
      <c r="C159" s="1191"/>
      <c r="D159" s="1890"/>
      <c r="E159" s="1862"/>
      <c r="F159" s="1877"/>
      <c r="G159" s="550" t="s">
        <v>13</v>
      </c>
      <c r="H159" s="673">
        <f>SUM(H158)</f>
        <v>0</v>
      </c>
      <c r="I159" s="674">
        <f t="shared" ref="I159:Q159" si="65">SUM(I158)</f>
        <v>0</v>
      </c>
      <c r="J159" s="674">
        <f t="shared" si="65"/>
        <v>0</v>
      </c>
      <c r="K159" s="675">
        <f t="shared" si="65"/>
        <v>0</v>
      </c>
      <c r="L159" s="673">
        <f t="shared" si="65"/>
        <v>0</v>
      </c>
      <c r="M159" s="677">
        <f t="shared" si="65"/>
        <v>0</v>
      </c>
      <c r="N159" s="674">
        <f t="shared" si="65"/>
        <v>0</v>
      </c>
      <c r="O159" s="675">
        <f t="shared" si="65"/>
        <v>0</v>
      </c>
      <c r="P159" s="676">
        <f t="shared" si="65"/>
        <v>0</v>
      </c>
      <c r="Q159" s="673">
        <f t="shared" si="65"/>
        <v>0</v>
      </c>
      <c r="R159" s="1888"/>
      <c r="S159" s="551">
        <f>S158</f>
        <v>0</v>
      </c>
      <c r="T159" s="552">
        <f>T158</f>
        <v>0</v>
      </c>
      <c r="U159" s="563"/>
    </row>
    <row r="160" spans="1:26" s="525" customFormat="1" collapsed="1" x14ac:dyDescent="0.2">
      <c r="A160" s="1869" t="s">
        <v>17</v>
      </c>
      <c r="B160" s="1871" t="s">
        <v>19</v>
      </c>
      <c r="C160" s="1873" t="s">
        <v>415</v>
      </c>
      <c r="D160" s="1875" t="s">
        <v>493</v>
      </c>
      <c r="E160" s="1877" t="s">
        <v>494</v>
      </c>
      <c r="F160" s="1877" t="s">
        <v>495</v>
      </c>
      <c r="G160" s="397" t="s">
        <v>226</v>
      </c>
      <c r="H160" s="678">
        <v>57</v>
      </c>
      <c r="I160" s="678">
        <v>56.5</v>
      </c>
      <c r="J160" s="678">
        <v>6.1</v>
      </c>
      <c r="K160" s="678">
        <v>0.5</v>
      </c>
      <c r="L160" s="635">
        <v>48.2</v>
      </c>
      <c r="M160" s="636">
        <v>47.7</v>
      </c>
      <c r="N160" s="636">
        <v>6.1</v>
      </c>
      <c r="O160" s="637">
        <v>0.5</v>
      </c>
      <c r="P160" s="678">
        <v>72</v>
      </c>
      <c r="Q160" s="679">
        <v>80</v>
      </c>
      <c r="R160" s="1879" t="s">
        <v>496</v>
      </c>
      <c r="S160" s="1881">
        <v>1450</v>
      </c>
      <c r="T160" s="1883">
        <v>1450</v>
      </c>
      <c r="U160" s="1598"/>
      <c r="V160" s="660"/>
      <c r="W160" s="680"/>
      <c r="X160" s="680"/>
      <c r="Y160" s="660"/>
      <c r="Z160" s="660"/>
    </row>
    <row r="161" spans="1:26" s="525" customFormat="1" x14ac:dyDescent="0.2">
      <c r="A161" s="1869"/>
      <c r="B161" s="1871"/>
      <c r="C161" s="1873"/>
      <c r="D161" s="1875"/>
      <c r="E161" s="1877"/>
      <c r="F161" s="1877"/>
      <c r="G161" s="544" t="s">
        <v>225</v>
      </c>
      <c r="H161" s="678">
        <v>239.6</v>
      </c>
      <c r="I161" s="678">
        <v>235.3</v>
      </c>
      <c r="J161" s="678">
        <v>66.099999999999994</v>
      </c>
      <c r="K161" s="678">
        <v>4.3</v>
      </c>
      <c r="L161" s="635">
        <v>239.2</v>
      </c>
      <c r="M161" s="636">
        <v>234.9</v>
      </c>
      <c r="N161" s="636">
        <v>66.099999999999994</v>
      </c>
      <c r="O161" s="637">
        <v>4.3</v>
      </c>
      <c r="P161" s="678">
        <v>239</v>
      </c>
      <c r="Q161" s="679">
        <v>239</v>
      </c>
      <c r="R161" s="1879"/>
      <c r="S161" s="1881"/>
      <c r="T161" s="1884"/>
      <c r="U161" s="1886"/>
      <c r="V161" s="660"/>
      <c r="W161" s="680"/>
      <c r="X161" s="680"/>
      <c r="Y161" s="660"/>
      <c r="Z161" s="660"/>
    </row>
    <row r="162" spans="1:26" ht="14.25" customHeight="1" x14ac:dyDescent="0.2">
      <c r="A162" s="1869"/>
      <c r="B162" s="1871"/>
      <c r="C162" s="1873"/>
      <c r="D162" s="1875"/>
      <c r="E162" s="1877"/>
      <c r="F162" s="1877"/>
      <c r="G162" s="544" t="s">
        <v>73</v>
      </c>
      <c r="H162" s="644">
        <v>20</v>
      </c>
      <c r="I162" s="644">
        <v>20</v>
      </c>
      <c r="J162" s="644">
        <v>15.3</v>
      </c>
      <c r="K162" s="644"/>
      <c r="L162" s="635">
        <v>20</v>
      </c>
      <c r="M162" s="681">
        <v>20</v>
      </c>
      <c r="N162" s="682">
        <v>15.3</v>
      </c>
      <c r="O162" s="683"/>
      <c r="P162" s="678">
        <v>0</v>
      </c>
      <c r="Q162" s="679">
        <v>0</v>
      </c>
      <c r="R162" s="1879"/>
      <c r="S162" s="1881"/>
      <c r="T162" s="1884"/>
      <c r="U162" s="1886"/>
      <c r="V162" s="264"/>
      <c r="W162" s="684"/>
      <c r="X162" s="684"/>
      <c r="Y162" s="264"/>
    </row>
    <row r="163" spans="1:26" s="537" customFormat="1" ht="11.25" customHeight="1" x14ac:dyDescent="0.2">
      <c r="A163" s="1869"/>
      <c r="B163" s="1871"/>
      <c r="C163" s="1873"/>
      <c r="D163" s="1875"/>
      <c r="E163" s="1877"/>
      <c r="F163" s="1877"/>
      <c r="G163" s="397" t="s">
        <v>224</v>
      </c>
      <c r="H163" s="644">
        <v>594.29999999999995</v>
      </c>
      <c r="I163" s="644">
        <v>594.29999999999995</v>
      </c>
      <c r="J163" s="644">
        <v>477.5</v>
      </c>
      <c r="K163" s="644"/>
      <c r="L163" s="635">
        <v>585.9</v>
      </c>
      <c r="M163" s="636">
        <v>585.9</v>
      </c>
      <c r="N163" s="636">
        <v>477.5</v>
      </c>
      <c r="O163" s="637"/>
      <c r="P163" s="644">
        <v>520</v>
      </c>
      <c r="Q163" s="679">
        <v>680</v>
      </c>
      <c r="R163" s="1879"/>
      <c r="S163" s="1881"/>
      <c r="T163" s="1885"/>
      <c r="U163" s="1887"/>
      <c r="V163" s="685"/>
      <c r="W163" s="686"/>
      <c r="X163" s="686"/>
      <c r="Y163" s="685"/>
    </row>
    <row r="164" spans="1:26" ht="12" thickBot="1" x14ac:dyDescent="0.25">
      <c r="A164" s="1870"/>
      <c r="B164" s="1872"/>
      <c r="C164" s="1874"/>
      <c r="D164" s="1876"/>
      <c r="E164" s="1878"/>
      <c r="F164" s="1878"/>
      <c r="G164" s="687" t="s">
        <v>13</v>
      </c>
      <c r="H164" s="688">
        <f>SUM(H160:H163)</f>
        <v>910.9</v>
      </c>
      <c r="I164" s="689">
        <f>SUM(I160:I163)</f>
        <v>906.09999999999991</v>
      </c>
      <c r="J164" s="689">
        <f t="shared" ref="J164:Q164" si="66">SUM(J160:J163)</f>
        <v>565</v>
      </c>
      <c r="K164" s="690">
        <f t="shared" si="66"/>
        <v>4.8</v>
      </c>
      <c r="L164" s="688">
        <f t="shared" si="66"/>
        <v>893.3</v>
      </c>
      <c r="M164" s="689">
        <f t="shared" si="66"/>
        <v>888.5</v>
      </c>
      <c r="N164" s="689">
        <f t="shared" si="66"/>
        <v>565</v>
      </c>
      <c r="O164" s="690">
        <f t="shared" si="66"/>
        <v>4.8</v>
      </c>
      <c r="P164" s="691">
        <f t="shared" si="66"/>
        <v>831</v>
      </c>
      <c r="Q164" s="643">
        <f t="shared" si="66"/>
        <v>999</v>
      </c>
      <c r="R164" s="1880"/>
      <c r="S164" s="688">
        <f>SUM(S160)</f>
        <v>1450</v>
      </c>
      <c r="T164" s="692">
        <f>SUM(T160)</f>
        <v>1450</v>
      </c>
      <c r="U164" s="289"/>
      <c r="V164" s="684"/>
      <c r="W164" s="684"/>
      <c r="X164" s="684"/>
      <c r="Y164" s="264"/>
    </row>
    <row r="165" spans="1:26" s="525" customFormat="1" ht="12" hidden="1" customHeight="1" outlineLevel="1" x14ac:dyDescent="0.2">
      <c r="A165" s="1869" t="s">
        <v>17</v>
      </c>
      <c r="B165" s="1871" t="s">
        <v>19</v>
      </c>
      <c r="C165" s="1873" t="s">
        <v>497</v>
      </c>
      <c r="D165" s="1875" t="s">
        <v>493</v>
      </c>
      <c r="E165" s="1877" t="s">
        <v>489</v>
      </c>
      <c r="F165" s="1877" t="s">
        <v>490</v>
      </c>
      <c r="G165" s="397" t="s">
        <v>226</v>
      </c>
      <c r="H165" s="644">
        <v>11382</v>
      </c>
      <c r="I165" s="634">
        <v>11382</v>
      </c>
      <c r="J165" s="634"/>
      <c r="K165" s="637"/>
      <c r="L165" s="644">
        <v>11382</v>
      </c>
      <c r="M165" s="634">
        <v>11382</v>
      </c>
      <c r="N165" s="634"/>
      <c r="O165" s="637"/>
      <c r="P165" s="638">
        <v>11382</v>
      </c>
      <c r="Q165" s="638">
        <v>11382</v>
      </c>
      <c r="R165" s="1879" t="s">
        <v>496</v>
      </c>
      <c r="S165" s="1881">
        <v>1200</v>
      </c>
      <c r="T165" s="1882">
        <v>1300</v>
      </c>
      <c r="U165" s="693"/>
      <c r="V165" s="660"/>
      <c r="W165" s="660"/>
      <c r="X165" s="660"/>
      <c r="Y165" s="660"/>
      <c r="Z165" s="660"/>
    </row>
    <row r="166" spans="1:26" s="525" customFormat="1" ht="12" hidden="1" customHeight="1" outlineLevel="1" x14ac:dyDescent="0.2">
      <c r="A166" s="1869"/>
      <c r="B166" s="1871"/>
      <c r="C166" s="1873"/>
      <c r="D166" s="1875"/>
      <c r="E166" s="1877"/>
      <c r="F166" s="1877"/>
      <c r="G166" s="544" t="s">
        <v>225</v>
      </c>
      <c r="H166" s="644"/>
      <c r="I166" s="634"/>
      <c r="J166" s="634"/>
      <c r="K166" s="637"/>
      <c r="L166" s="644"/>
      <c r="M166" s="634"/>
      <c r="N166" s="634"/>
      <c r="O166" s="637"/>
      <c r="P166" s="638"/>
      <c r="Q166" s="638"/>
      <c r="R166" s="1879"/>
      <c r="S166" s="1881"/>
      <c r="T166" s="1882"/>
      <c r="U166" s="693"/>
      <c r="V166" s="660"/>
      <c r="W166" s="660"/>
      <c r="X166" s="660"/>
      <c r="Y166" s="660"/>
      <c r="Z166" s="660"/>
    </row>
    <row r="167" spans="1:26" ht="14.25" hidden="1" customHeight="1" outlineLevel="1" x14ac:dyDescent="0.2">
      <c r="A167" s="1869"/>
      <c r="B167" s="1871"/>
      <c r="C167" s="1873"/>
      <c r="D167" s="1875"/>
      <c r="E167" s="1877"/>
      <c r="F167" s="1877"/>
      <c r="G167" s="544" t="s">
        <v>73</v>
      </c>
      <c r="H167" s="644"/>
      <c r="I167" s="634"/>
      <c r="J167" s="634"/>
      <c r="K167" s="637"/>
      <c r="L167" s="644"/>
      <c r="M167" s="634"/>
      <c r="N167" s="634"/>
      <c r="O167" s="637"/>
      <c r="P167" s="638"/>
      <c r="Q167" s="638"/>
      <c r="R167" s="1879"/>
      <c r="S167" s="1881"/>
      <c r="T167" s="1882"/>
      <c r="U167" s="563"/>
      <c r="V167" s="264"/>
      <c r="W167" s="264"/>
      <c r="X167" s="264"/>
      <c r="Y167" s="264"/>
    </row>
    <row r="168" spans="1:26" s="537" customFormat="1" ht="11.25" hidden="1" customHeight="1" outlineLevel="1" x14ac:dyDescent="0.2">
      <c r="A168" s="1869"/>
      <c r="B168" s="1871"/>
      <c r="C168" s="1873"/>
      <c r="D168" s="1875"/>
      <c r="E168" s="1877"/>
      <c r="F168" s="1877"/>
      <c r="G168" s="397" t="s">
        <v>224</v>
      </c>
      <c r="H168" s="325">
        <v>179593</v>
      </c>
      <c r="I168" s="326">
        <v>176697</v>
      </c>
      <c r="J168" s="326">
        <v>123842</v>
      </c>
      <c r="K168" s="393">
        <v>2896</v>
      </c>
      <c r="L168" s="644">
        <v>153196</v>
      </c>
      <c r="M168" s="634">
        <v>153196</v>
      </c>
      <c r="N168" s="634">
        <v>109327</v>
      </c>
      <c r="O168" s="637"/>
      <c r="P168" s="638">
        <v>179593</v>
      </c>
      <c r="Q168" s="638">
        <v>179593</v>
      </c>
      <c r="R168" s="1879"/>
      <c r="S168" s="1881"/>
      <c r="T168" s="1882"/>
      <c r="U168" s="694">
        <f>I168+K168</f>
        <v>179593</v>
      </c>
      <c r="V168" s="685"/>
      <c r="W168" s="685"/>
      <c r="X168" s="685"/>
      <c r="Y168" s="685"/>
    </row>
    <row r="169" spans="1:26" ht="12" hidden="1" outlineLevel="1" thickBot="1" x14ac:dyDescent="0.25">
      <c r="A169" s="1870"/>
      <c r="B169" s="1872"/>
      <c r="C169" s="1874"/>
      <c r="D169" s="1876"/>
      <c r="E169" s="1878"/>
      <c r="F169" s="1878"/>
      <c r="G169" s="687" t="s">
        <v>13</v>
      </c>
      <c r="H169" s="688">
        <f>SUM(H165:H168)</f>
        <v>190975</v>
      </c>
      <c r="I169" s="689">
        <f t="shared" ref="I169:Q169" si="67">SUM(I165:I168)</f>
        <v>188079</v>
      </c>
      <c r="J169" s="689">
        <f t="shared" si="67"/>
        <v>123842</v>
      </c>
      <c r="K169" s="690">
        <f t="shared" si="67"/>
        <v>2896</v>
      </c>
      <c r="L169" s="688">
        <f t="shared" si="67"/>
        <v>164578</v>
      </c>
      <c r="M169" s="689">
        <f t="shared" si="67"/>
        <v>164578</v>
      </c>
      <c r="N169" s="689">
        <f t="shared" si="67"/>
        <v>109327</v>
      </c>
      <c r="O169" s="690">
        <f t="shared" si="67"/>
        <v>0</v>
      </c>
      <c r="P169" s="691">
        <f t="shared" si="67"/>
        <v>190975</v>
      </c>
      <c r="Q169" s="691">
        <f t="shared" si="67"/>
        <v>190975</v>
      </c>
      <c r="R169" s="1880"/>
      <c r="S169" s="688">
        <f>SUM(S165)</f>
        <v>1200</v>
      </c>
      <c r="T169" s="689">
        <f>SUM(T165)</f>
        <v>1300</v>
      </c>
      <c r="U169" s="563"/>
      <c r="V169" s="264"/>
      <c r="W169" s="264"/>
      <c r="X169" s="264"/>
      <c r="Y169" s="264"/>
    </row>
    <row r="170" spans="1:26" s="525" customFormat="1" ht="16.5" hidden="1" customHeight="1" outlineLevel="1" x14ac:dyDescent="0.2">
      <c r="A170" s="1869" t="s">
        <v>17</v>
      </c>
      <c r="B170" s="1871" t="s">
        <v>19</v>
      </c>
      <c r="C170" s="1873" t="s">
        <v>498</v>
      </c>
      <c r="D170" s="1875" t="s">
        <v>493</v>
      </c>
      <c r="E170" s="1877" t="s">
        <v>489</v>
      </c>
      <c r="F170" s="1877" t="s">
        <v>491</v>
      </c>
      <c r="G170" s="397" t="s">
        <v>226</v>
      </c>
      <c r="H170" s="644">
        <v>27196</v>
      </c>
      <c r="I170" s="634">
        <v>27196</v>
      </c>
      <c r="J170" s="634"/>
      <c r="K170" s="637"/>
      <c r="L170" s="644">
        <v>27196</v>
      </c>
      <c r="M170" s="634">
        <v>27196</v>
      </c>
      <c r="N170" s="634"/>
      <c r="O170" s="637"/>
      <c r="P170" s="638">
        <v>27300</v>
      </c>
      <c r="Q170" s="638">
        <v>27500</v>
      </c>
      <c r="R170" s="1879" t="s">
        <v>496</v>
      </c>
      <c r="S170" s="1881">
        <v>90</v>
      </c>
      <c r="T170" s="1882">
        <v>90</v>
      </c>
      <c r="U170" s="695"/>
      <c r="V170" s="660"/>
      <c r="W170" s="660"/>
      <c r="X170" s="660"/>
      <c r="Y170" s="660"/>
      <c r="Z170" s="660"/>
    </row>
    <row r="171" spans="1:26" s="525" customFormat="1" ht="12" hidden="1" customHeight="1" outlineLevel="1" x14ac:dyDescent="0.2">
      <c r="A171" s="1869"/>
      <c r="B171" s="1871"/>
      <c r="C171" s="1873"/>
      <c r="D171" s="1875"/>
      <c r="E171" s="1877"/>
      <c r="F171" s="1877"/>
      <c r="G171" s="544" t="s">
        <v>225</v>
      </c>
      <c r="H171" s="644">
        <v>180521</v>
      </c>
      <c r="I171" s="634">
        <v>179073</v>
      </c>
      <c r="J171" s="634">
        <v>42740</v>
      </c>
      <c r="K171" s="637">
        <v>1448</v>
      </c>
      <c r="L171" s="644">
        <v>180521</v>
      </c>
      <c r="M171" s="634">
        <v>180521</v>
      </c>
      <c r="N171" s="634">
        <v>18263</v>
      </c>
      <c r="O171" s="637"/>
      <c r="P171" s="638">
        <v>184200</v>
      </c>
      <c r="Q171" s="638">
        <v>186500</v>
      </c>
      <c r="R171" s="1879"/>
      <c r="S171" s="1881"/>
      <c r="T171" s="1882"/>
      <c r="U171" s="693"/>
      <c r="V171" s="660"/>
      <c r="W171" s="660"/>
      <c r="X171" s="660"/>
      <c r="Y171" s="660"/>
      <c r="Z171" s="660"/>
    </row>
    <row r="172" spans="1:26" ht="14.25" hidden="1" customHeight="1" outlineLevel="1" x14ac:dyDescent="0.2">
      <c r="A172" s="1869"/>
      <c r="B172" s="1871"/>
      <c r="C172" s="1873"/>
      <c r="D172" s="1875"/>
      <c r="E172" s="1877"/>
      <c r="F172" s="1877"/>
      <c r="G172" s="544" t="s">
        <v>73</v>
      </c>
      <c r="H172" s="644"/>
      <c r="I172" s="634"/>
      <c r="J172" s="634"/>
      <c r="K172" s="637"/>
      <c r="L172" s="644"/>
      <c r="M172" s="634"/>
      <c r="N172" s="634"/>
      <c r="O172" s="637"/>
      <c r="P172" s="638"/>
      <c r="Q172" s="638"/>
      <c r="R172" s="1879"/>
      <c r="S172" s="1881"/>
      <c r="T172" s="1882"/>
      <c r="U172" s="563"/>
      <c r="V172" s="264"/>
      <c r="W172" s="264"/>
      <c r="X172" s="264"/>
      <c r="Y172" s="264"/>
    </row>
    <row r="173" spans="1:26" s="537" customFormat="1" ht="11.25" hidden="1" customHeight="1" outlineLevel="1" x14ac:dyDescent="0.2">
      <c r="A173" s="1869"/>
      <c r="B173" s="1871"/>
      <c r="C173" s="1873"/>
      <c r="D173" s="1875"/>
      <c r="E173" s="1877"/>
      <c r="F173" s="1877"/>
      <c r="G173" s="397" t="s">
        <v>224</v>
      </c>
      <c r="H173" s="644">
        <v>190068</v>
      </c>
      <c r="I173" s="634">
        <v>190068</v>
      </c>
      <c r="J173" s="634">
        <v>174321</v>
      </c>
      <c r="K173" s="637"/>
      <c r="L173" s="644">
        <v>167615</v>
      </c>
      <c r="M173" s="634">
        <v>167615</v>
      </c>
      <c r="N173" s="634">
        <v>167615</v>
      </c>
      <c r="O173" s="637"/>
      <c r="P173" s="638">
        <v>193500</v>
      </c>
      <c r="Q173" s="638">
        <v>196000</v>
      </c>
      <c r="R173" s="1879"/>
      <c r="S173" s="1881"/>
      <c r="T173" s="1882"/>
      <c r="U173" s="694">
        <f>I174+K174</f>
        <v>397785</v>
      </c>
      <c r="V173" s="685"/>
      <c r="W173" s="685"/>
      <c r="X173" s="685"/>
      <c r="Y173" s="685"/>
    </row>
    <row r="174" spans="1:26" ht="12" hidden="1" outlineLevel="1" thickBot="1" x14ac:dyDescent="0.25">
      <c r="A174" s="1870"/>
      <c r="B174" s="1872"/>
      <c r="C174" s="1874"/>
      <c r="D174" s="1876"/>
      <c r="E174" s="1878"/>
      <c r="F174" s="1878"/>
      <c r="G174" s="687" t="s">
        <v>13</v>
      </c>
      <c r="H174" s="688">
        <f>SUM(H170:H173)</f>
        <v>397785</v>
      </c>
      <c r="I174" s="689">
        <f t="shared" ref="I174:Q174" si="68">SUM(I170:I173)</f>
        <v>396337</v>
      </c>
      <c r="J174" s="689">
        <f t="shared" si="68"/>
        <v>217061</v>
      </c>
      <c r="K174" s="690">
        <f t="shared" si="68"/>
        <v>1448</v>
      </c>
      <c r="L174" s="688">
        <f t="shared" si="68"/>
        <v>375332</v>
      </c>
      <c r="M174" s="689">
        <f t="shared" si="68"/>
        <v>375332</v>
      </c>
      <c r="N174" s="689">
        <f t="shared" si="68"/>
        <v>185878</v>
      </c>
      <c r="O174" s="690">
        <f t="shared" si="68"/>
        <v>0</v>
      </c>
      <c r="P174" s="691">
        <f t="shared" si="68"/>
        <v>405000</v>
      </c>
      <c r="Q174" s="691">
        <f t="shared" si="68"/>
        <v>410000</v>
      </c>
      <c r="R174" s="1880"/>
      <c r="S174" s="688">
        <f>SUM(S170)</f>
        <v>90</v>
      </c>
      <c r="T174" s="689">
        <f>SUM(T170)</f>
        <v>90</v>
      </c>
      <c r="U174" s="563"/>
      <c r="V174" s="264"/>
      <c r="W174" s="264"/>
      <c r="X174" s="264"/>
      <c r="Y174" s="264"/>
    </row>
    <row r="175" spans="1:26" s="525" customFormat="1" ht="12" hidden="1" customHeight="1" outlineLevel="1" x14ac:dyDescent="0.2">
      <c r="A175" s="1869" t="s">
        <v>17</v>
      </c>
      <c r="B175" s="1871" t="s">
        <v>19</v>
      </c>
      <c r="C175" s="1873" t="s">
        <v>499</v>
      </c>
      <c r="D175" s="1875" t="s">
        <v>493</v>
      </c>
      <c r="E175" s="1877" t="s">
        <v>489</v>
      </c>
      <c r="F175" s="1877" t="s">
        <v>492</v>
      </c>
      <c r="G175" s="397" t="s">
        <v>226</v>
      </c>
      <c r="H175" s="644"/>
      <c r="I175" s="634"/>
      <c r="J175" s="634"/>
      <c r="K175" s="637"/>
      <c r="L175" s="644"/>
      <c r="M175" s="634"/>
      <c r="N175" s="634"/>
      <c r="O175" s="637"/>
      <c r="P175" s="638"/>
      <c r="Q175" s="638"/>
      <c r="R175" s="1879" t="s">
        <v>496</v>
      </c>
      <c r="S175" s="1881">
        <v>24</v>
      </c>
      <c r="T175" s="1882">
        <v>25</v>
      </c>
      <c r="U175" s="693"/>
      <c r="V175" s="660"/>
      <c r="W175" s="660"/>
      <c r="X175" s="660"/>
      <c r="Y175" s="660"/>
      <c r="Z175" s="660"/>
    </row>
    <row r="176" spans="1:26" s="525" customFormat="1" ht="12" hidden="1" customHeight="1" outlineLevel="1" x14ac:dyDescent="0.2">
      <c r="A176" s="1869"/>
      <c r="B176" s="1871"/>
      <c r="C176" s="1873"/>
      <c r="D176" s="1875"/>
      <c r="E176" s="1877"/>
      <c r="F176" s="1877"/>
      <c r="G176" s="544" t="s">
        <v>225</v>
      </c>
      <c r="H176" s="644">
        <v>20.3</v>
      </c>
      <c r="I176" s="634">
        <v>20.3</v>
      </c>
      <c r="J176" s="634"/>
      <c r="K176" s="637"/>
      <c r="L176" s="644">
        <v>20267</v>
      </c>
      <c r="M176" s="634">
        <v>19067</v>
      </c>
      <c r="N176" s="634"/>
      <c r="O176" s="637">
        <v>1200</v>
      </c>
      <c r="P176" s="638">
        <v>23.2</v>
      </c>
      <c r="Q176" s="638">
        <v>24</v>
      </c>
      <c r="R176" s="1879"/>
      <c r="S176" s="1881"/>
      <c r="T176" s="1882"/>
      <c r="U176" s="693"/>
      <c r="V176" s="660"/>
      <c r="W176" s="660"/>
      <c r="X176" s="660"/>
      <c r="Y176" s="660"/>
      <c r="Z176" s="660"/>
    </row>
    <row r="177" spans="1:25" ht="14.25" hidden="1" customHeight="1" outlineLevel="1" x14ac:dyDescent="0.2">
      <c r="A177" s="1869"/>
      <c r="B177" s="1871"/>
      <c r="C177" s="1873"/>
      <c r="D177" s="1875"/>
      <c r="E177" s="1877"/>
      <c r="F177" s="1877"/>
      <c r="G177" s="544" t="s">
        <v>73</v>
      </c>
      <c r="H177" s="644">
        <v>33.200000000000003</v>
      </c>
      <c r="I177" s="634">
        <v>33.200000000000003</v>
      </c>
      <c r="J177" s="634"/>
      <c r="K177" s="637"/>
      <c r="L177" s="644"/>
      <c r="M177" s="634"/>
      <c r="N177" s="634"/>
      <c r="O177" s="637"/>
      <c r="P177" s="638">
        <v>34</v>
      </c>
      <c r="Q177" s="638">
        <v>34.5</v>
      </c>
      <c r="R177" s="1879"/>
      <c r="S177" s="1881"/>
      <c r="T177" s="1882"/>
      <c r="U177" s="563"/>
      <c r="V177" s="264"/>
      <c r="W177" s="264"/>
      <c r="X177" s="264"/>
      <c r="Y177" s="264"/>
    </row>
    <row r="178" spans="1:25" s="537" customFormat="1" ht="11.25" hidden="1" customHeight="1" outlineLevel="1" x14ac:dyDescent="0.2">
      <c r="A178" s="1869"/>
      <c r="B178" s="1871"/>
      <c r="C178" s="1873"/>
      <c r="D178" s="1875"/>
      <c r="E178" s="1877"/>
      <c r="F178" s="1877"/>
      <c r="G178" s="397" t="s">
        <v>224</v>
      </c>
      <c r="H178" s="644">
        <v>130.9</v>
      </c>
      <c r="I178" s="634">
        <v>129.69999999999999</v>
      </c>
      <c r="J178" s="634">
        <v>99.1</v>
      </c>
      <c r="K178" s="637">
        <v>1.2</v>
      </c>
      <c r="L178" s="644">
        <v>89336</v>
      </c>
      <c r="M178" s="634">
        <v>89336</v>
      </c>
      <c r="N178" s="634">
        <v>68454</v>
      </c>
      <c r="O178" s="637"/>
      <c r="P178" s="638">
        <v>145.30000000000001</v>
      </c>
      <c r="Q178" s="638">
        <v>155.30000000000001</v>
      </c>
      <c r="R178" s="1879"/>
      <c r="S178" s="1881"/>
      <c r="T178" s="1882"/>
      <c r="U178" s="694">
        <f>I178+K178</f>
        <v>130.89999999999998</v>
      </c>
      <c r="V178" s="685"/>
      <c r="W178" s="685"/>
      <c r="X178" s="685"/>
      <c r="Y178" s="685"/>
    </row>
    <row r="179" spans="1:25" ht="12" hidden="1" outlineLevel="1" thickBot="1" x14ac:dyDescent="0.25">
      <c r="A179" s="1870"/>
      <c r="B179" s="1872"/>
      <c r="C179" s="1874"/>
      <c r="D179" s="1876"/>
      <c r="E179" s="1878"/>
      <c r="F179" s="1878"/>
      <c r="G179" s="687" t="s">
        <v>13</v>
      </c>
      <c r="H179" s="688">
        <f>SUM(H175:H178)</f>
        <v>184.4</v>
      </c>
      <c r="I179" s="689">
        <f t="shared" ref="I179:Q179" si="69">SUM(I175:I178)</f>
        <v>183.2</v>
      </c>
      <c r="J179" s="689">
        <f t="shared" si="69"/>
        <v>99.1</v>
      </c>
      <c r="K179" s="690">
        <f t="shared" si="69"/>
        <v>1.2</v>
      </c>
      <c r="L179" s="688">
        <f t="shared" si="69"/>
        <v>109603</v>
      </c>
      <c r="M179" s="689">
        <f t="shared" si="69"/>
        <v>108403</v>
      </c>
      <c r="N179" s="689">
        <f t="shared" si="69"/>
        <v>68454</v>
      </c>
      <c r="O179" s="690">
        <f t="shared" si="69"/>
        <v>1200</v>
      </c>
      <c r="P179" s="691">
        <f t="shared" si="69"/>
        <v>202.5</v>
      </c>
      <c r="Q179" s="691">
        <f t="shared" si="69"/>
        <v>213.8</v>
      </c>
      <c r="R179" s="1880"/>
      <c r="S179" s="688">
        <f>SUM(S175)</f>
        <v>24</v>
      </c>
      <c r="T179" s="689">
        <f>SUM(T175)</f>
        <v>25</v>
      </c>
      <c r="U179" s="639">
        <f>I179+K179</f>
        <v>184.39999999999998</v>
      </c>
      <c r="V179" s="264"/>
      <c r="W179" s="264"/>
      <c r="X179" s="264"/>
      <c r="Y179" s="264"/>
    </row>
    <row r="180" spans="1:25" ht="17.25" customHeight="1" collapsed="1" thickBot="1" x14ac:dyDescent="0.25">
      <c r="A180" s="663" t="s">
        <v>17</v>
      </c>
      <c r="B180" s="458" t="s">
        <v>19</v>
      </c>
      <c r="C180" s="1114" t="s">
        <v>14</v>
      </c>
      <c r="D180" s="1114"/>
      <c r="E180" s="1114"/>
      <c r="F180" s="1114"/>
      <c r="G180" s="1115"/>
      <c r="H180" s="620">
        <f>SUM(H137,H140,H144,H147,H153,H164)+H149+H151</f>
        <v>1405.6000000000001</v>
      </c>
      <c r="I180" s="664">
        <f>SUM(I137,I140,I144,I147,I153,I164)+I149+I151</f>
        <v>1400.8</v>
      </c>
      <c r="J180" s="664">
        <f>SUM(J137,J140,J144,J147,J153,J164)+J149+J151</f>
        <v>565</v>
      </c>
      <c r="K180" s="618">
        <f>SUM(K137,K140,K144,K147,K153,K164)+K151+K149</f>
        <v>4.8</v>
      </c>
      <c r="L180" s="620">
        <f t="shared" ref="L180:Q180" si="70">SUM(L137,L140,L144,L147,L153,L164)+L149+L151</f>
        <v>1377.8</v>
      </c>
      <c r="M180" s="664">
        <f t="shared" si="70"/>
        <v>1373</v>
      </c>
      <c r="N180" s="664">
        <f t="shared" si="70"/>
        <v>565</v>
      </c>
      <c r="O180" s="618">
        <f t="shared" si="70"/>
        <v>4.8</v>
      </c>
      <c r="P180" s="619">
        <f t="shared" si="70"/>
        <v>1207.8000000000002</v>
      </c>
      <c r="Q180" s="619">
        <f t="shared" si="70"/>
        <v>1501.8000000000002</v>
      </c>
      <c r="R180" s="621" t="s">
        <v>23</v>
      </c>
      <c r="S180" s="665" t="s">
        <v>442</v>
      </c>
      <c r="T180" s="666" t="s">
        <v>442</v>
      </c>
      <c r="U180" s="666"/>
      <c r="V180" s="264"/>
      <c r="W180" s="264"/>
      <c r="X180" s="264"/>
      <c r="Y180" s="264"/>
    </row>
    <row r="181" spans="1:25" ht="15" customHeight="1" thickBot="1" x14ac:dyDescent="0.25">
      <c r="A181" s="696" t="s">
        <v>17</v>
      </c>
      <c r="B181" s="697" t="s">
        <v>20</v>
      </c>
      <c r="C181" s="1857" t="s">
        <v>500</v>
      </c>
      <c r="D181" s="1858"/>
      <c r="E181" s="1858"/>
      <c r="F181" s="1858"/>
      <c r="G181" s="1858"/>
      <c r="H181" s="1858"/>
      <c r="I181" s="1858"/>
      <c r="J181" s="1858"/>
      <c r="K181" s="1858"/>
      <c r="L181" s="1858"/>
      <c r="M181" s="1858"/>
      <c r="N181" s="1858"/>
      <c r="O181" s="1858"/>
      <c r="P181" s="1858"/>
      <c r="Q181" s="1858"/>
      <c r="R181" s="1858"/>
      <c r="S181" s="1858"/>
      <c r="T181" s="1858"/>
      <c r="U181" s="1859"/>
      <c r="V181" s="264"/>
      <c r="W181" s="264"/>
      <c r="X181" s="264"/>
      <c r="Y181" s="264"/>
    </row>
    <row r="182" spans="1:25" ht="15.75" customHeight="1" x14ac:dyDescent="0.2">
      <c r="A182" s="1860" t="s">
        <v>17</v>
      </c>
      <c r="B182" s="1141" t="s">
        <v>20</v>
      </c>
      <c r="C182" s="1142" t="s">
        <v>17</v>
      </c>
      <c r="D182" s="1301" t="s">
        <v>501</v>
      </c>
      <c r="E182" s="1861" t="s">
        <v>502</v>
      </c>
      <c r="F182" s="1863" t="s">
        <v>503</v>
      </c>
      <c r="G182" s="275" t="s">
        <v>226</v>
      </c>
      <c r="H182" s="425">
        <v>5</v>
      </c>
      <c r="I182" s="426">
        <v>5</v>
      </c>
      <c r="J182" s="426">
        <v>2.2999999999999998</v>
      </c>
      <c r="K182" s="450"/>
      <c r="L182" s="698">
        <v>4</v>
      </c>
      <c r="M182" s="426">
        <v>4</v>
      </c>
      <c r="N182" s="426">
        <v>2.2999999999999998</v>
      </c>
      <c r="O182" s="427"/>
      <c r="P182" s="626">
        <v>5</v>
      </c>
      <c r="Q182" s="699">
        <v>6</v>
      </c>
      <c r="R182" s="1864" t="s">
        <v>504</v>
      </c>
      <c r="S182" s="1866">
        <v>5.3</v>
      </c>
      <c r="T182" s="1867">
        <v>5.3</v>
      </c>
      <c r="U182" s="1868"/>
    </row>
    <row r="183" spans="1:25" ht="15" customHeight="1" x14ac:dyDescent="0.2">
      <c r="A183" s="1847"/>
      <c r="B183" s="1125"/>
      <c r="C183" s="1127"/>
      <c r="D183" s="1302"/>
      <c r="E183" s="1862"/>
      <c r="F183" s="1849"/>
      <c r="G183" s="397" t="s">
        <v>413</v>
      </c>
      <c r="H183" s="325">
        <v>34.6</v>
      </c>
      <c r="I183" s="326">
        <v>34.6</v>
      </c>
      <c r="J183" s="326">
        <v>24.1</v>
      </c>
      <c r="K183" s="393"/>
      <c r="L183" s="700">
        <v>34.6</v>
      </c>
      <c r="M183" s="326">
        <v>34.6</v>
      </c>
      <c r="N183" s="326">
        <v>24.1</v>
      </c>
      <c r="O183" s="291"/>
      <c r="P183" s="391">
        <v>34</v>
      </c>
      <c r="Q183" s="390">
        <v>85</v>
      </c>
      <c r="R183" s="1843"/>
      <c r="S183" s="1853"/>
      <c r="T183" s="1856"/>
      <c r="U183" s="1846"/>
    </row>
    <row r="184" spans="1:25" ht="14.25" customHeight="1" x14ac:dyDescent="0.2">
      <c r="A184" s="1847"/>
      <c r="B184" s="1125"/>
      <c r="C184" s="1127"/>
      <c r="D184" s="1302"/>
      <c r="E184" s="1862"/>
      <c r="F184" s="1849"/>
      <c r="G184" s="279" t="s">
        <v>13</v>
      </c>
      <c r="H184" s="287">
        <f t="shared" ref="H184:Q184" si="71">SUM(H182:H183)</f>
        <v>39.6</v>
      </c>
      <c r="I184" s="288">
        <f t="shared" si="71"/>
        <v>39.6</v>
      </c>
      <c r="J184" s="288">
        <f t="shared" si="71"/>
        <v>26.400000000000002</v>
      </c>
      <c r="K184" s="289">
        <f t="shared" si="71"/>
        <v>0</v>
      </c>
      <c r="L184" s="701">
        <f t="shared" si="71"/>
        <v>38.6</v>
      </c>
      <c r="M184" s="288">
        <f t="shared" si="71"/>
        <v>38.6</v>
      </c>
      <c r="N184" s="288">
        <f t="shared" si="71"/>
        <v>26.400000000000002</v>
      </c>
      <c r="O184" s="313">
        <f t="shared" si="71"/>
        <v>0</v>
      </c>
      <c r="P184" s="567">
        <f t="shared" si="71"/>
        <v>39</v>
      </c>
      <c r="Q184" s="702">
        <f t="shared" si="71"/>
        <v>91</v>
      </c>
      <c r="R184" s="1865"/>
      <c r="S184" s="287">
        <f>S182</f>
        <v>5.3</v>
      </c>
      <c r="T184" s="313">
        <f>T182</f>
        <v>5.3</v>
      </c>
      <c r="U184" s="289"/>
    </row>
    <row r="185" spans="1:25" ht="4.5" hidden="1" customHeight="1" x14ac:dyDescent="0.2">
      <c r="A185" s="1847" t="s">
        <v>17</v>
      </c>
      <c r="B185" s="1125" t="s">
        <v>20</v>
      </c>
      <c r="C185" s="1127" t="s">
        <v>18</v>
      </c>
      <c r="D185" s="1302" t="s">
        <v>505</v>
      </c>
      <c r="E185" s="1848" t="s">
        <v>506</v>
      </c>
      <c r="F185" s="1849" t="s">
        <v>237</v>
      </c>
      <c r="G185" s="397"/>
      <c r="H185" s="325"/>
      <c r="I185" s="326"/>
      <c r="J185" s="326"/>
      <c r="K185" s="393"/>
      <c r="L185" s="700"/>
      <c r="M185" s="326"/>
      <c r="N185" s="326"/>
      <c r="O185" s="291"/>
      <c r="P185" s="391"/>
      <c r="Q185" s="390"/>
      <c r="R185" s="1852" t="s">
        <v>507</v>
      </c>
      <c r="S185" s="1853">
        <v>3</v>
      </c>
      <c r="T185" s="1854">
        <v>3</v>
      </c>
      <c r="U185" s="1844"/>
    </row>
    <row r="186" spans="1:25" ht="17.25" customHeight="1" x14ac:dyDescent="0.2">
      <c r="A186" s="1847"/>
      <c r="B186" s="1125"/>
      <c r="C186" s="1127"/>
      <c r="D186" s="1302"/>
      <c r="E186" s="1848"/>
      <c r="F186" s="1849"/>
      <c r="G186" s="397" t="s">
        <v>224</v>
      </c>
      <c r="H186" s="325">
        <v>95.4</v>
      </c>
      <c r="I186" s="326">
        <v>74.599999999999994</v>
      </c>
      <c r="J186" s="326"/>
      <c r="K186" s="393">
        <v>20.8</v>
      </c>
      <c r="L186" s="700">
        <v>38.5</v>
      </c>
      <c r="M186" s="326">
        <v>17.7</v>
      </c>
      <c r="N186" s="326"/>
      <c r="O186" s="291">
        <v>20.8</v>
      </c>
      <c r="P186" s="391">
        <v>47.2</v>
      </c>
      <c r="Q186" s="390">
        <v>51.3</v>
      </c>
      <c r="R186" s="1852"/>
      <c r="S186" s="1853"/>
      <c r="T186" s="1855"/>
      <c r="U186" s="1845"/>
    </row>
    <row r="187" spans="1:25" ht="17.25" customHeight="1" x14ac:dyDescent="0.2">
      <c r="A187" s="1847"/>
      <c r="B187" s="1125"/>
      <c r="C187" s="1127"/>
      <c r="D187" s="1302"/>
      <c r="E187" s="1848"/>
      <c r="F187" s="1849"/>
      <c r="G187" s="397" t="s">
        <v>466</v>
      </c>
      <c r="H187" s="325"/>
      <c r="I187" s="326"/>
      <c r="J187" s="326"/>
      <c r="K187" s="393"/>
      <c r="L187" s="700"/>
      <c r="M187" s="326"/>
      <c r="N187" s="326"/>
      <c r="O187" s="291"/>
      <c r="P187" s="391">
        <v>3.4</v>
      </c>
      <c r="Q187" s="390">
        <v>12</v>
      </c>
      <c r="R187" s="1852"/>
      <c r="S187" s="1853"/>
      <c r="T187" s="1856"/>
      <c r="U187" s="1846"/>
    </row>
    <row r="188" spans="1:25" ht="21.75" customHeight="1" x14ac:dyDescent="0.2">
      <c r="A188" s="1847"/>
      <c r="B188" s="1125"/>
      <c r="C188" s="1127"/>
      <c r="D188" s="1302"/>
      <c r="E188" s="1848"/>
      <c r="F188" s="1849"/>
      <c r="G188" s="279" t="s">
        <v>13</v>
      </c>
      <c r="H188" s="287">
        <f t="shared" ref="H188:Q188" si="72">SUM(H185:H187)</f>
        <v>95.4</v>
      </c>
      <c r="I188" s="288">
        <f t="shared" si="72"/>
        <v>74.599999999999994</v>
      </c>
      <c r="J188" s="288">
        <f t="shared" si="72"/>
        <v>0</v>
      </c>
      <c r="K188" s="289">
        <f t="shared" si="72"/>
        <v>20.8</v>
      </c>
      <c r="L188" s="701">
        <f t="shared" si="72"/>
        <v>38.5</v>
      </c>
      <c r="M188" s="288">
        <f t="shared" si="72"/>
        <v>17.7</v>
      </c>
      <c r="N188" s="288">
        <f t="shared" si="72"/>
        <v>0</v>
      </c>
      <c r="O188" s="313">
        <f t="shared" si="72"/>
        <v>20.8</v>
      </c>
      <c r="P188" s="567">
        <f t="shared" si="72"/>
        <v>50.6</v>
      </c>
      <c r="Q188" s="702">
        <f t="shared" si="72"/>
        <v>63.3</v>
      </c>
      <c r="R188" s="1852"/>
      <c r="S188" s="287">
        <f>SUM(S185)</f>
        <v>3</v>
      </c>
      <c r="T188" s="313">
        <f>SUM(T185)</f>
        <v>3</v>
      </c>
      <c r="U188" s="289"/>
    </row>
    <row r="189" spans="1:25" ht="17.25" customHeight="1" x14ac:dyDescent="0.2">
      <c r="A189" s="1847" t="s">
        <v>17</v>
      </c>
      <c r="B189" s="1125" t="s">
        <v>20</v>
      </c>
      <c r="C189" s="1127" t="s">
        <v>19</v>
      </c>
      <c r="D189" s="1302" t="s">
        <v>508</v>
      </c>
      <c r="E189" s="1848" t="s">
        <v>509</v>
      </c>
      <c r="F189" s="1849" t="s">
        <v>249</v>
      </c>
      <c r="G189" s="306" t="s">
        <v>224</v>
      </c>
      <c r="H189" s="325">
        <v>0</v>
      </c>
      <c r="I189" s="326">
        <v>0</v>
      </c>
      <c r="J189" s="326">
        <v>0</v>
      </c>
      <c r="K189" s="393">
        <v>0</v>
      </c>
      <c r="L189" s="700">
        <v>0</v>
      </c>
      <c r="M189" s="326">
        <v>0</v>
      </c>
      <c r="N189" s="326">
        <v>0</v>
      </c>
      <c r="O189" s="291">
        <v>0</v>
      </c>
      <c r="P189" s="391">
        <v>0</v>
      </c>
      <c r="Q189" s="390">
        <v>0</v>
      </c>
      <c r="R189" s="1835" t="s">
        <v>510</v>
      </c>
      <c r="S189" s="325">
        <v>0</v>
      </c>
      <c r="T189" s="291">
        <v>0</v>
      </c>
      <c r="U189" s="393"/>
    </row>
    <row r="190" spans="1:25" ht="30" customHeight="1" x14ac:dyDescent="0.2">
      <c r="A190" s="1124"/>
      <c r="B190" s="1126"/>
      <c r="C190" s="1128"/>
      <c r="D190" s="1381"/>
      <c r="E190" s="1839"/>
      <c r="F190" s="1841"/>
      <c r="G190" s="703" t="s">
        <v>13</v>
      </c>
      <c r="H190" s="704">
        <f>+H189</f>
        <v>0</v>
      </c>
      <c r="I190" s="705">
        <f t="shared" ref="I190:Q190" si="73">+I189</f>
        <v>0</v>
      </c>
      <c r="J190" s="705">
        <f t="shared" si="73"/>
        <v>0</v>
      </c>
      <c r="K190" s="706">
        <f t="shared" si="73"/>
        <v>0</v>
      </c>
      <c r="L190" s="707">
        <f t="shared" si="73"/>
        <v>0</v>
      </c>
      <c r="M190" s="705">
        <f t="shared" si="73"/>
        <v>0</v>
      </c>
      <c r="N190" s="705">
        <f t="shared" si="73"/>
        <v>0</v>
      </c>
      <c r="O190" s="708">
        <f t="shared" si="73"/>
        <v>0</v>
      </c>
      <c r="P190" s="709">
        <f t="shared" si="73"/>
        <v>0</v>
      </c>
      <c r="Q190" s="710">
        <f t="shared" si="73"/>
        <v>0</v>
      </c>
      <c r="R190" s="1836"/>
      <c r="S190" s="704">
        <f>+S189</f>
        <v>0</v>
      </c>
      <c r="T190" s="708">
        <f>+T189</f>
        <v>0</v>
      </c>
      <c r="U190" s="706"/>
    </row>
    <row r="191" spans="1:25" ht="18.75" customHeight="1" x14ac:dyDescent="0.2">
      <c r="A191" s="1837" t="s">
        <v>17</v>
      </c>
      <c r="B191" s="1126" t="s">
        <v>20</v>
      </c>
      <c r="C191" s="1128" t="s">
        <v>20</v>
      </c>
      <c r="D191" s="1381" t="s">
        <v>511</v>
      </c>
      <c r="E191" s="1839" t="s">
        <v>502</v>
      </c>
      <c r="F191" s="1841" t="s">
        <v>503</v>
      </c>
      <c r="G191" s="306" t="s">
        <v>413</v>
      </c>
      <c r="H191" s="325">
        <v>52.4</v>
      </c>
      <c r="I191" s="326">
        <v>52.4</v>
      </c>
      <c r="J191" s="326">
        <v>35.4</v>
      </c>
      <c r="K191" s="393">
        <v>0</v>
      </c>
      <c r="L191" s="700">
        <v>52.4</v>
      </c>
      <c r="M191" s="326">
        <v>52.4</v>
      </c>
      <c r="N191" s="326">
        <v>35.4</v>
      </c>
      <c r="O191" s="291">
        <v>0</v>
      </c>
      <c r="P191" s="391">
        <v>51.4</v>
      </c>
      <c r="Q191" s="390">
        <v>50</v>
      </c>
      <c r="R191" s="1835" t="s">
        <v>512</v>
      </c>
      <c r="S191" s="191">
        <v>0</v>
      </c>
      <c r="T191" s="227">
        <v>0</v>
      </c>
      <c r="U191" s="393"/>
    </row>
    <row r="192" spans="1:25" ht="15.75" customHeight="1" x14ac:dyDescent="0.2">
      <c r="A192" s="1838"/>
      <c r="B192" s="1160"/>
      <c r="C192" s="1194"/>
      <c r="D192" s="1382"/>
      <c r="E192" s="1840"/>
      <c r="F192" s="1842"/>
      <c r="G192" s="392" t="s">
        <v>13</v>
      </c>
      <c r="H192" s="608">
        <f>SUM(H190:H191)</f>
        <v>52.4</v>
      </c>
      <c r="I192" s="614">
        <f>SUM(I190:I191)</f>
        <v>52.4</v>
      </c>
      <c r="J192" s="614">
        <f>SUM(J190:J191)</f>
        <v>35.4</v>
      </c>
      <c r="K192" s="659">
        <f>SUM(K190:K191)</f>
        <v>0</v>
      </c>
      <c r="L192" s="711">
        <f t="shared" ref="L192:Q192" si="74">SUM(L191)</f>
        <v>52.4</v>
      </c>
      <c r="M192" s="614">
        <f t="shared" si="74"/>
        <v>52.4</v>
      </c>
      <c r="N192" s="614">
        <f t="shared" si="74"/>
        <v>35.4</v>
      </c>
      <c r="O192" s="712">
        <f t="shared" si="74"/>
        <v>0</v>
      </c>
      <c r="P192" s="713">
        <f t="shared" si="74"/>
        <v>51.4</v>
      </c>
      <c r="Q192" s="714">
        <f t="shared" si="74"/>
        <v>50</v>
      </c>
      <c r="R192" s="1836"/>
      <c r="S192" s="39">
        <f>SUM(S191)</f>
        <v>0</v>
      </c>
      <c r="T192" s="40">
        <f>SUM(T190:T191)</f>
        <v>0</v>
      </c>
      <c r="U192" s="659"/>
    </row>
    <row r="193" spans="1:21" ht="15.75" customHeight="1" x14ac:dyDescent="0.2">
      <c r="A193" s="1837" t="s">
        <v>17</v>
      </c>
      <c r="B193" s="1126" t="s">
        <v>20</v>
      </c>
      <c r="C193" s="1128" t="s">
        <v>21</v>
      </c>
      <c r="D193" s="1381" t="s">
        <v>513</v>
      </c>
      <c r="E193" s="1839" t="s">
        <v>514</v>
      </c>
      <c r="F193" s="1841" t="s">
        <v>249</v>
      </c>
      <c r="G193" s="306" t="s">
        <v>224</v>
      </c>
      <c r="H193" s="325">
        <v>50</v>
      </c>
      <c r="I193" s="326">
        <v>50</v>
      </c>
      <c r="J193" s="326">
        <v>0</v>
      </c>
      <c r="K193" s="393">
        <v>0</v>
      </c>
      <c r="L193" s="700">
        <v>40.9</v>
      </c>
      <c r="M193" s="326">
        <v>40.9</v>
      </c>
      <c r="N193" s="326">
        <v>0</v>
      </c>
      <c r="O193" s="291">
        <v>0</v>
      </c>
      <c r="P193" s="391">
        <v>30</v>
      </c>
      <c r="Q193" s="390">
        <v>20</v>
      </c>
      <c r="R193" s="1836" t="s">
        <v>515</v>
      </c>
      <c r="S193" s="325">
        <v>100</v>
      </c>
      <c r="T193" s="326">
        <v>82</v>
      </c>
      <c r="U193" s="560"/>
    </row>
    <row r="194" spans="1:21" ht="22.5" customHeight="1" thickBot="1" x14ac:dyDescent="0.25">
      <c r="A194" s="1838"/>
      <c r="B194" s="1160"/>
      <c r="C194" s="1194"/>
      <c r="D194" s="1382"/>
      <c r="E194" s="1840"/>
      <c r="F194" s="1842"/>
      <c r="G194" s="392" t="s">
        <v>13</v>
      </c>
      <c r="H194" s="608">
        <f t="shared" ref="H194:Q194" si="75">SUM(H193)</f>
        <v>50</v>
      </c>
      <c r="I194" s="614">
        <f t="shared" si="75"/>
        <v>50</v>
      </c>
      <c r="J194" s="614">
        <f t="shared" si="75"/>
        <v>0</v>
      </c>
      <c r="K194" s="659">
        <f t="shared" si="75"/>
        <v>0</v>
      </c>
      <c r="L194" s="711">
        <f t="shared" si="75"/>
        <v>40.9</v>
      </c>
      <c r="M194" s="614">
        <f t="shared" si="75"/>
        <v>40.9</v>
      </c>
      <c r="N194" s="614">
        <f t="shared" si="75"/>
        <v>0</v>
      </c>
      <c r="O194" s="712">
        <f t="shared" si="75"/>
        <v>0</v>
      </c>
      <c r="P194" s="713">
        <f t="shared" si="75"/>
        <v>30</v>
      </c>
      <c r="Q194" s="714">
        <f t="shared" si="75"/>
        <v>20</v>
      </c>
      <c r="R194" s="1843"/>
      <c r="S194" s="608">
        <f>SUM(S193)</f>
        <v>100</v>
      </c>
      <c r="T194" s="614">
        <f>SUM(T193)</f>
        <v>82</v>
      </c>
      <c r="U194" s="659"/>
    </row>
    <row r="195" spans="1:21" ht="18" customHeight="1" thickBot="1" x14ac:dyDescent="0.25">
      <c r="A195" s="663" t="s">
        <v>17</v>
      </c>
      <c r="B195" s="458" t="s">
        <v>20</v>
      </c>
      <c r="C195" s="1850" t="s">
        <v>14</v>
      </c>
      <c r="D195" s="1850"/>
      <c r="E195" s="1850"/>
      <c r="F195" s="1850"/>
      <c r="G195" s="1851"/>
      <c r="H195" s="620">
        <f>SUM(H184,H188,H190,H192)</f>
        <v>187.4</v>
      </c>
      <c r="I195" s="664">
        <f>SUM(I184,I188,I190,I192)</f>
        <v>166.6</v>
      </c>
      <c r="J195" s="664">
        <f>SUM(J184,J188,J190,J192)</f>
        <v>61.8</v>
      </c>
      <c r="K195" s="618">
        <f>SUM(K184,K188,K190,K192)</f>
        <v>20.8</v>
      </c>
      <c r="L195" s="715">
        <f>SUM(L184,L188,L190,L192,L194)</f>
        <v>170.4</v>
      </c>
      <c r="M195" s="664">
        <f>SUM(M184,M188,M190,M192,M194)</f>
        <v>149.6</v>
      </c>
      <c r="N195" s="664">
        <f>SUM(N184,N188,N190,N192,N194)</f>
        <v>61.8</v>
      </c>
      <c r="O195" s="617">
        <f>SUM(O184,O188,O190)</f>
        <v>20.8</v>
      </c>
      <c r="P195" s="619">
        <f>SUM(P184,P188,P190)</f>
        <v>89.6</v>
      </c>
      <c r="Q195" s="621">
        <f>SUM(Q184,Q188,Q190)</f>
        <v>154.30000000000001</v>
      </c>
      <c r="R195" s="619" t="s">
        <v>23</v>
      </c>
      <c r="S195" s="665" t="s">
        <v>442</v>
      </c>
      <c r="T195" s="666" t="s">
        <v>442</v>
      </c>
      <c r="U195" s="716"/>
    </row>
    <row r="196" spans="1:21" ht="16.5" customHeight="1" thickBot="1" x14ac:dyDescent="0.25">
      <c r="A196" s="696" t="s">
        <v>17</v>
      </c>
      <c r="B196" s="1830" t="s">
        <v>15</v>
      </c>
      <c r="C196" s="1830"/>
      <c r="D196" s="1830"/>
      <c r="E196" s="1830"/>
      <c r="F196" s="1830"/>
      <c r="G196" s="1831"/>
      <c r="H196" s="472">
        <f t="shared" ref="H196:Q196" si="76">SUM(H82,H134,H180,H195)</f>
        <v>7925.9000000000015</v>
      </c>
      <c r="I196" s="473">
        <f t="shared" si="76"/>
        <v>7857.5000000000027</v>
      </c>
      <c r="J196" s="473">
        <f t="shared" si="76"/>
        <v>916.8</v>
      </c>
      <c r="K196" s="474">
        <f t="shared" si="76"/>
        <v>68.399999999999991</v>
      </c>
      <c r="L196" s="472">
        <f t="shared" si="76"/>
        <v>7759.7</v>
      </c>
      <c r="M196" s="473">
        <f t="shared" si="76"/>
        <v>7691.3</v>
      </c>
      <c r="N196" s="473">
        <f t="shared" si="76"/>
        <v>913.19999999999993</v>
      </c>
      <c r="O196" s="474">
        <f t="shared" si="76"/>
        <v>68.399999999999991</v>
      </c>
      <c r="P196" s="471">
        <f t="shared" si="76"/>
        <v>7449.3000000000011</v>
      </c>
      <c r="Q196" s="717">
        <f t="shared" si="76"/>
        <v>8381.5</v>
      </c>
      <c r="R196" s="718" t="s">
        <v>23</v>
      </c>
      <c r="S196" s="472" t="s">
        <v>23</v>
      </c>
      <c r="T196" s="719" t="s">
        <v>23</v>
      </c>
      <c r="U196" s="474"/>
    </row>
    <row r="197" spans="1:21" ht="18" customHeight="1" thickBot="1" x14ac:dyDescent="0.25">
      <c r="A197" s="1832" t="s">
        <v>16</v>
      </c>
      <c r="B197" s="1833"/>
      <c r="C197" s="1833"/>
      <c r="D197" s="1833"/>
      <c r="E197" s="1833"/>
      <c r="F197" s="1833"/>
      <c r="G197" s="1834"/>
      <c r="H197" s="484">
        <f>SUM(H196)</f>
        <v>7925.9000000000015</v>
      </c>
      <c r="I197" s="485">
        <f t="shared" ref="I197:Q197" si="77">SUM(I196)</f>
        <v>7857.5000000000027</v>
      </c>
      <c r="J197" s="485">
        <f t="shared" si="77"/>
        <v>916.8</v>
      </c>
      <c r="K197" s="486">
        <f t="shared" si="77"/>
        <v>68.399999999999991</v>
      </c>
      <c r="L197" s="484">
        <f t="shared" si="77"/>
        <v>7759.7</v>
      </c>
      <c r="M197" s="485">
        <f t="shared" si="77"/>
        <v>7691.3</v>
      </c>
      <c r="N197" s="485">
        <f t="shared" si="77"/>
        <v>913.19999999999993</v>
      </c>
      <c r="O197" s="486">
        <f t="shared" si="77"/>
        <v>68.399999999999991</v>
      </c>
      <c r="P197" s="483">
        <f t="shared" si="77"/>
        <v>7449.3000000000011</v>
      </c>
      <c r="Q197" s="720">
        <f t="shared" si="77"/>
        <v>8381.5</v>
      </c>
      <c r="R197" s="721" t="s">
        <v>23</v>
      </c>
      <c r="S197" s="484" t="s">
        <v>23</v>
      </c>
      <c r="T197" s="722" t="s">
        <v>23</v>
      </c>
      <c r="U197" s="723"/>
    </row>
    <row r="198" spans="1:21" ht="11.25" customHeight="1" x14ac:dyDescent="0.2">
      <c r="T198" s="724"/>
    </row>
    <row r="199" spans="1:21" ht="12.75" customHeight="1" x14ac:dyDescent="0.2"/>
    <row r="201" spans="1:21" x14ac:dyDescent="0.2">
      <c r="D201" s="549"/>
    </row>
    <row r="202" spans="1:21" ht="15.75" customHeight="1" x14ac:dyDescent="0.2">
      <c r="A202" s="489" t="s">
        <v>516</v>
      </c>
      <c r="B202" s="489"/>
      <c r="C202" s="489"/>
      <c r="D202" s="489"/>
      <c r="E202" s="489"/>
      <c r="F202" s="489"/>
    </row>
    <row r="203" spans="1:21" x14ac:dyDescent="0.2">
      <c r="D203" s="549"/>
    </row>
    <row r="206" spans="1:21" x14ac:dyDescent="0.2">
      <c r="K206" s="725"/>
      <c r="L206" s="725"/>
      <c r="M206" s="725"/>
      <c r="N206" s="725"/>
      <c r="O206" s="725"/>
      <c r="P206" s="537"/>
    </row>
    <row r="207" spans="1:21" x14ac:dyDescent="0.2">
      <c r="K207" s="725"/>
      <c r="L207" s="725"/>
      <c r="M207" s="725"/>
      <c r="N207" s="725"/>
      <c r="O207" s="725"/>
      <c r="P207" s="537"/>
    </row>
    <row r="208" spans="1:21" ht="15.75" x14ac:dyDescent="0.2">
      <c r="A208" s="489"/>
      <c r="B208" s="489"/>
      <c r="C208" s="489"/>
      <c r="D208" s="489"/>
      <c r="E208" s="489"/>
      <c r="F208" s="489"/>
      <c r="G208" s="489"/>
      <c r="H208" s="489"/>
      <c r="I208" s="489"/>
      <c r="J208" s="489"/>
      <c r="K208" s="489"/>
      <c r="L208" s="489"/>
      <c r="M208" s="489"/>
      <c r="N208" s="489"/>
      <c r="O208" s="725"/>
      <c r="P208" s="537"/>
    </row>
    <row r="209" spans="11:16" x14ac:dyDescent="0.2">
      <c r="K209" s="537"/>
      <c r="L209" s="725"/>
      <c r="M209" s="725"/>
      <c r="N209" s="725"/>
      <c r="O209" s="725"/>
      <c r="P209" s="537"/>
    </row>
    <row r="210" spans="11:16" x14ac:dyDescent="0.2">
      <c r="K210" s="537"/>
      <c r="L210" s="725"/>
      <c r="M210" s="725"/>
      <c r="N210" s="725"/>
      <c r="O210" s="725"/>
      <c r="P210" s="537"/>
    </row>
    <row r="211" spans="11:16" x14ac:dyDescent="0.2">
      <c r="K211" s="537"/>
      <c r="L211" s="725"/>
      <c r="M211" s="725"/>
      <c r="N211" s="725"/>
      <c r="O211" s="725"/>
      <c r="P211" s="537"/>
    </row>
    <row r="212" spans="11:16" x14ac:dyDescent="0.2">
      <c r="K212" s="537"/>
      <c r="L212" s="537"/>
      <c r="M212" s="537"/>
      <c r="N212" s="537"/>
      <c r="O212" s="537"/>
      <c r="P212" s="537"/>
    </row>
    <row r="239" spans="1:1" x14ac:dyDescent="0.2">
      <c r="A239" s="524"/>
    </row>
    <row r="240" spans="1:1" x14ac:dyDescent="0.2">
      <c r="A240" s="524"/>
    </row>
    <row r="241" spans="1:1" x14ac:dyDescent="0.2">
      <c r="A241" s="524"/>
    </row>
    <row r="242" spans="1:1" x14ac:dyDescent="0.2">
      <c r="A242" s="524"/>
    </row>
    <row r="243" spans="1:1" x14ac:dyDescent="0.2">
      <c r="A243" s="524"/>
    </row>
    <row r="244" spans="1:1" x14ac:dyDescent="0.2">
      <c r="A244" s="524"/>
    </row>
    <row r="245" spans="1:1" x14ac:dyDescent="0.2">
      <c r="A245" s="524"/>
    </row>
    <row r="246" spans="1:1" x14ac:dyDescent="0.2">
      <c r="A246" s="524"/>
    </row>
    <row r="247" spans="1:1" x14ac:dyDescent="0.2">
      <c r="A247" s="524"/>
    </row>
    <row r="248" spans="1:1" x14ac:dyDescent="0.2">
      <c r="A248" s="524"/>
    </row>
    <row r="249" spans="1:1" x14ac:dyDescent="0.2">
      <c r="A249" s="524"/>
    </row>
    <row r="250" spans="1:1" x14ac:dyDescent="0.2">
      <c r="A250" s="524"/>
    </row>
    <row r="251" spans="1:1" x14ac:dyDescent="0.2">
      <c r="A251" s="524"/>
    </row>
    <row r="252" spans="1:1" x14ac:dyDescent="0.2">
      <c r="A252" s="524"/>
    </row>
    <row r="253" spans="1:1" x14ac:dyDescent="0.2">
      <c r="A253" s="524"/>
    </row>
    <row r="254" spans="1:1" x14ac:dyDescent="0.2">
      <c r="A254" s="524"/>
    </row>
    <row r="255" spans="1:1" x14ac:dyDescent="0.2">
      <c r="A255" s="524"/>
    </row>
    <row r="256" spans="1:1" x14ac:dyDescent="0.2">
      <c r="A256" s="524"/>
    </row>
    <row r="257" spans="1:1" x14ac:dyDescent="0.2">
      <c r="A257" s="524"/>
    </row>
    <row r="258" spans="1:1" x14ac:dyDescent="0.2">
      <c r="A258" s="524"/>
    </row>
    <row r="259" spans="1:1" x14ac:dyDescent="0.2">
      <c r="A259" s="524"/>
    </row>
    <row r="260" spans="1:1" x14ac:dyDescent="0.2">
      <c r="A260" s="524"/>
    </row>
    <row r="261" spans="1:1" x14ac:dyDescent="0.2">
      <c r="A261" s="524"/>
    </row>
    <row r="262" spans="1:1" x14ac:dyDescent="0.2">
      <c r="A262" s="524"/>
    </row>
    <row r="263" spans="1:1" x14ac:dyDescent="0.2">
      <c r="A263" s="524"/>
    </row>
    <row r="264" spans="1:1" x14ac:dyDescent="0.2">
      <c r="A264" s="524"/>
    </row>
    <row r="265" spans="1:1" x14ac:dyDescent="0.2">
      <c r="A265" s="524"/>
    </row>
    <row r="266" spans="1:1" x14ac:dyDescent="0.2">
      <c r="A266" s="524"/>
    </row>
    <row r="267" spans="1:1" x14ac:dyDescent="0.2">
      <c r="A267" s="524"/>
    </row>
    <row r="268" spans="1:1" x14ac:dyDescent="0.2">
      <c r="A268" s="524"/>
    </row>
    <row r="269" spans="1:1" x14ac:dyDescent="0.2">
      <c r="A269" s="524"/>
    </row>
    <row r="270" spans="1:1" x14ac:dyDescent="0.2">
      <c r="A270" s="524"/>
    </row>
  </sheetData>
  <mergeCells count="635">
    <mergeCell ref="R1:T1"/>
    <mergeCell ref="A2:T2"/>
    <mergeCell ref="A3:T3"/>
    <mergeCell ref="A4:T4"/>
    <mergeCell ref="A5:T5"/>
    <mergeCell ref="A6:T6"/>
    <mergeCell ref="A7:T7"/>
    <mergeCell ref="U7:U10"/>
    <mergeCell ref="A8:A10"/>
    <mergeCell ref="B8:B10"/>
    <mergeCell ref="C8:C10"/>
    <mergeCell ref="D8:D10"/>
    <mergeCell ref="E8:E10"/>
    <mergeCell ref="F8:F10"/>
    <mergeCell ref="G8:G10"/>
    <mergeCell ref="H8:K8"/>
    <mergeCell ref="L8:O8"/>
    <mergeCell ref="P8:P10"/>
    <mergeCell ref="Q8:Q10"/>
    <mergeCell ref="R8:T8"/>
    <mergeCell ref="H9:H10"/>
    <mergeCell ref="I9:J9"/>
    <mergeCell ref="K9:K10"/>
    <mergeCell ref="L9:L10"/>
    <mergeCell ref="M9:N9"/>
    <mergeCell ref="O9:O10"/>
    <mergeCell ref="R9:R10"/>
    <mergeCell ref="A11:U11"/>
    <mergeCell ref="A12:U12"/>
    <mergeCell ref="B13:U13"/>
    <mergeCell ref="C14:U14"/>
    <mergeCell ref="A15:A16"/>
    <mergeCell ref="B15:B16"/>
    <mergeCell ref="C15:C16"/>
    <mergeCell ref="D15:D16"/>
    <mergeCell ref="E15:E16"/>
    <mergeCell ref="F15:F16"/>
    <mergeCell ref="R15:R16"/>
    <mergeCell ref="A17:A18"/>
    <mergeCell ref="B17:B18"/>
    <mergeCell ref="C17:C18"/>
    <mergeCell ref="D17:D18"/>
    <mergeCell ref="E17:E18"/>
    <mergeCell ref="F17:F18"/>
    <mergeCell ref="R17:R18"/>
    <mergeCell ref="R19:R20"/>
    <mergeCell ref="A21:A22"/>
    <mergeCell ref="B21:B22"/>
    <mergeCell ref="C21:C22"/>
    <mergeCell ref="D21:D22"/>
    <mergeCell ref="E21:E22"/>
    <mergeCell ref="F21:F22"/>
    <mergeCell ref="R21:R22"/>
    <mergeCell ref="A19:A20"/>
    <mergeCell ref="B19:B20"/>
    <mergeCell ref="C19:C20"/>
    <mergeCell ref="D19:D20"/>
    <mergeCell ref="E19:E20"/>
    <mergeCell ref="F19:F20"/>
    <mergeCell ref="R23:R24"/>
    <mergeCell ref="A25:A26"/>
    <mergeCell ref="B25:B26"/>
    <mergeCell ref="C25:C26"/>
    <mergeCell ref="D25:D26"/>
    <mergeCell ref="E25:E26"/>
    <mergeCell ref="F25:F26"/>
    <mergeCell ref="R25:R26"/>
    <mergeCell ref="A23:A24"/>
    <mergeCell ref="B23:B24"/>
    <mergeCell ref="C23:C24"/>
    <mergeCell ref="D23:D24"/>
    <mergeCell ref="E23:E24"/>
    <mergeCell ref="F23:F24"/>
    <mergeCell ref="R27:R28"/>
    <mergeCell ref="A29:A30"/>
    <mergeCell ref="B29:B30"/>
    <mergeCell ref="C29:C30"/>
    <mergeCell ref="D29:D30"/>
    <mergeCell ref="E29:E30"/>
    <mergeCell ref="F29:F30"/>
    <mergeCell ref="R29:R30"/>
    <mergeCell ref="A27:A28"/>
    <mergeCell ref="B27:B28"/>
    <mergeCell ref="C27:C28"/>
    <mergeCell ref="D27:D28"/>
    <mergeCell ref="E27:E28"/>
    <mergeCell ref="F27:F28"/>
    <mergeCell ref="R31:R32"/>
    <mergeCell ref="A33:A34"/>
    <mergeCell ref="B33:B34"/>
    <mergeCell ref="C33:C34"/>
    <mergeCell ref="D33:D34"/>
    <mergeCell ref="E33:E34"/>
    <mergeCell ref="F33:F34"/>
    <mergeCell ref="R33:R34"/>
    <mergeCell ref="A31:A32"/>
    <mergeCell ref="B31:B32"/>
    <mergeCell ref="C31:C32"/>
    <mergeCell ref="D31:D32"/>
    <mergeCell ref="E31:E32"/>
    <mergeCell ref="F31:F32"/>
    <mergeCell ref="R35:R36"/>
    <mergeCell ref="A37:A38"/>
    <mergeCell ref="B37:B38"/>
    <mergeCell ref="C37:C38"/>
    <mergeCell ref="D37:D38"/>
    <mergeCell ref="E37:E38"/>
    <mergeCell ref="F37:F38"/>
    <mergeCell ref="R37:R38"/>
    <mergeCell ref="A35:A36"/>
    <mergeCell ref="B35:B36"/>
    <mergeCell ref="C35:C36"/>
    <mergeCell ref="D35:D36"/>
    <mergeCell ref="E35:E36"/>
    <mergeCell ref="F35:F36"/>
    <mergeCell ref="R39:R40"/>
    <mergeCell ref="A41:A42"/>
    <mergeCell ref="B41:B42"/>
    <mergeCell ref="C41:C42"/>
    <mergeCell ref="D41:D42"/>
    <mergeCell ref="E41:E42"/>
    <mergeCell ref="F41:F42"/>
    <mergeCell ref="R41:R42"/>
    <mergeCell ref="A39:A40"/>
    <mergeCell ref="B39:B40"/>
    <mergeCell ref="C39:C40"/>
    <mergeCell ref="D39:D40"/>
    <mergeCell ref="E39:E40"/>
    <mergeCell ref="F39:F40"/>
    <mergeCell ref="D47:D49"/>
    <mergeCell ref="E47:E49"/>
    <mergeCell ref="F47:F49"/>
    <mergeCell ref="R43:R44"/>
    <mergeCell ref="A45:A46"/>
    <mergeCell ref="B45:B46"/>
    <mergeCell ref="C45:C46"/>
    <mergeCell ref="D45:D46"/>
    <mergeCell ref="E45:E46"/>
    <mergeCell ref="F45:F46"/>
    <mergeCell ref="R45:R46"/>
    <mergeCell ref="A43:A44"/>
    <mergeCell ref="B43:B44"/>
    <mergeCell ref="C43:C44"/>
    <mergeCell ref="D43:D44"/>
    <mergeCell ref="E43:E44"/>
    <mergeCell ref="F43:F44"/>
    <mergeCell ref="S47:S48"/>
    <mergeCell ref="T47:T48"/>
    <mergeCell ref="A50:A51"/>
    <mergeCell ref="B50:B51"/>
    <mergeCell ref="C50:C51"/>
    <mergeCell ref="D50:D51"/>
    <mergeCell ref="E50:E51"/>
    <mergeCell ref="F50:F51"/>
    <mergeCell ref="R50:R51"/>
    <mergeCell ref="M47:M48"/>
    <mergeCell ref="N47:N48"/>
    <mergeCell ref="O47:O48"/>
    <mergeCell ref="P47:P48"/>
    <mergeCell ref="Q47:Q48"/>
    <mergeCell ref="R47:R49"/>
    <mergeCell ref="G47:G48"/>
    <mergeCell ref="H47:H48"/>
    <mergeCell ref="I47:I48"/>
    <mergeCell ref="J47:J48"/>
    <mergeCell ref="K47:K48"/>
    <mergeCell ref="L47:L48"/>
    <mergeCell ref="A47:A49"/>
    <mergeCell ref="B47:B49"/>
    <mergeCell ref="C47:C49"/>
    <mergeCell ref="R52:R53"/>
    <mergeCell ref="A54:A55"/>
    <mergeCell ref="B54:B55"/>
    <mergeCell ref="C54:C55"/>
    <mergeCell ref="D54:D55"/>
    <mergeCell ref="E54:E55"/>
    <mergeCell ref="F54:F55"/>
    <mergeCell ref="R54:R55"/>
    <mergeCell ref="A52:A53"/>
    <mergeCell ref="B52:B53"/>
    <mergeCell ref="C52:C53"/>
    <mergeCell ref="D52:D53"/>
    <mergeCell ref="E52:E53"/>
    <mergeCell ref="F52:F53"/>
    <mergeCell ref="S56:S57"/>
    <mergeCell ref="T56:T57"/>
    <mergeCell ref="U56:U57"/>
    <mergeCell ref="A59:A61"/>
    <mergeCell ref="B59:B61"/>
    <mergeCell ref="C59:C61"/>
    <mergeCell ref="D59:D61"/>
    <mergeCell ref="E59:E61"/>
    <mergeCell ref="F59:F61"/>
    <mergeCell ref="A56:A58"/>
    <mergeCell ref="B56:B58"/>
    <mergeCell ref="C56:C58"/>
    <mergeCell ref="D56:D58"/>
    <mergeCell ref="E56:E58"/>
    <mergeCell ref="F56:F58"/>
    <mergeCell ref="R59:R61"/>
    <mergeCell ref="A62:A63"/>
    <mergeCell ref="B62:B63"/>
    <mergeCell ref="C62:C63"/>
    <mergeCell ref="D62:D63"/>
    <mergeCell ref="E62:E63"/>
    <mergeCell ref="F62:F63"/>
    <mergeCell ref="R62:R63"/>
    <mergeCell ref="R56:R58"/>
    <mergeCell ref="R64:R65"/>
    <mergeCell ref="A66:A67"/>
    <mergeCell ref="B66:B67"/>
    <mergeCell ref="C66:C67"/>
    <mergeCell ref="D66:D67"/>
    <mergeCell ref="E66:E67"/>
    <mergeCell ref="F66:F67"/>
    <mergeCell ref="R66:R67"/>
    <mergeCell ref="A64:A65"/>
    <mergeCell ref="B64:B65"/>
    <mergeCell ref="C64:C65"/>
    <mergeCell ref="D64:D65"/>
    <mergeCell ref="E64:E65"/>
    <mergeCell ref="F64:F65"/>
    <mergeCell ref="R68:R69"/>
    <mergeCell ref="A70:A71"/>
    <mergeCell ref="B70:B71"/>
    <mergeCell ref="C70:C71"/>
    <mergeCell ref="D70:D71"/>
    <mergeCell ref="E70:E71"/>
    <mergeCell ref="F70:F71"/>
    <mergeCell ref="R70:R71"/>
    <mergeCell ref="A68:A69"/>
    <mergeCell ref="B68:B69"/>
    <mergeCell ref="C68:C69"/>
    <mergeCell ref="D68:D69"/>
    <mergeCell ref="E68:E69"/>
    <mergeCell ref="F68:F69"/>
    <mergeCell ref="R72:R73"/>
    <mergeCell ref="A74:A75"/>
    <mergeCell ref="B74:B75"/>
    <mergeCell ref="C74:C75"/>
    <mergeCell ref="D74:D75"/>
    <mergeCell ref="E74:E75"/>
    <mergeCell ref="F74:F75"/>
    <mergeCell ref="R74:R75"/>
    <mergeCell ref="A72:A73"/>
    <mergeCell ref="B72:B73"/>
    <mergeCell ref="C72:C73"/>
    <mergeCell ref="D72:D73"/>
    <mergeCell ref="E72:E73"/>
    <mergeCell ref="F72:F73"/>
    <mergeCell ref="R76:R77"/>
    <mergeCell ref="A78:A79"/>
    <mergeCell ref="B78:B79"/>
    <mergeCell ref="C78:C79"/>
    <mergeCell ref="D78:D79"/>
    <mergeCell ref="E78:E79"/>
    <mergeCell ref="F78:F79"/>
    <mergeCell ref="R78:R79"/>
    <mergeCell ref="A76:A77"/>
    <mergeCell ref="B76:B77"/>
    <mergeCell ref="C76:C77"/>
    <mergeCell ref="D76:D77"/>
    <mergeCell ref="E76:E77"/>
    <mergeCell ref="F76:F77"/>
    <mergeCell ref="R80:R81"/>
    <mergeCell ref="C82:G82"/>
    <mergeCell ref="C83:U83"/>
    <mergeCell ref="A84:A85"/>
    <mergeCell ref="B84:B85"/>
    <mergeCell ref="C84:C85"/>
    <mergeCell ref="D84:D85"/>
    <mergeCell ref="E84:E85"/>
    <mergeCell ref="F84:F85"/>
    <mergeCell ref="R84:R85"/>
    <mergeCell ref="A80:A81"/>
    <mergeCell ref="B80:B81"/>
    <mergeCell ref="C80:C81"/>
    <mergeCell ref="D80:D81"/>
    <mergeCell ref="E80:E81"/>
    <mergeCell ref="F80:F81"/>
    <mergeCell ref="R86:R87"/>
    <mergeCell ref="A88:A89"/>
    <mergeCell ref="B88:B89"/>
    <mergeCell ref="C88:C89"/>
    <mergeCell ref="D88:D89"/>
    <mergeCell ref="E88:E89"/>
    <mergeCell ref="F88:F89"/>
    <mergeCell ref="R88:R89"/>
    <mergeCell ref="A86:A87"/>
    <mergeCell ref="B86:B87"/>
    <mergeCell ref="C86:C87"/>
    <mergeCell ref="D86:D87"/>
    <mergeCell ref="E86:E87"/>
    <mergeCell ref="F86:F87"/>
    <mergeCell ref="R90:R91"/>
    <mergeCell ref="A92:A93"/>
    <mergeCell ref="B92:B93"/>
    <mergeCell ref="C92:C93"/>
    <mergeCell ref="D92:D93"/>
    <mergeCell ref="E92:E93"/>
    <mergeCell ref="F92:F93"/>
    <mergeCell ref="R92:R93"/>
    <mergeCell ref="A90:A91"/>
    <mergeCell ref="B90:B91"/>
    <mergeCell ref="C90:C91"/>
    <mergeCell ref="D90:D91"/>
    <mergeCell ref="E90:E91"/>
    <mergeCell ref="F90:F91"/>
    <mergeCell ref="R94:R95"/>
    <mergeCell ref="A96:A97"/>
    <mergeCell ref="B96:B97"/>
    <mergeCell ref="C96:C97"/>
    <mergeCell ref="D96:D97"/>
    <mergeCell ref="E96:E97"/>
    <mergeCell ref="F96:F97"/>
    <mergeCell ref="R96:R97"/>
    <mergeCell ref="A94:A95"/>
    <mergeCell ref="B94:B95"/>
    <mergeCell ref="C94:C95"/>
    <mergeCell ref="D94:D95"/>
    <mergeCell ref="E94:E95"/>
    <mergeCell ref="F94:F95"/>
    <mergeCell ref="R98:R99"/>
    <mergeCell ref="A100:A101"/>
    <mergeCell ref="B100:B101"/>
    <mergeCell ref="C100:C101"/>
    <mergeCell ref="D100:D101"/>
    <mergeCell ref="E100:E101"/>
    <mergeCell ref="F100:F101"/>
    <mergeCell ref="R100:R101"/>
    <mergeCell ref="A98:A99"/>
    <mergeCell ref="B98:B99"/>
    <mergeCell ref="C98:C99"/>
    <mergeCell ref="D98:D99"/>
    <mergeCell ref="E98:E99"/>
    <mergeCell ref="F98:F99"/>
    <mergeCell ref="R102:R103"/>
    <mergeCell ref="A104:A105"/>
    <mergeCell ref="B104:B105"/>
    <mergeCell ref="C104:C105"/>
    <mergeCell ref="D104:D105"/>
    <mergeCell ref="E104:E105"/>
    <mergeCell ref="F104:F105"/>
    <mergeCell ref="R104:R105"/>
    <mergeCell ref="A102:A103"/>
    <mergeCell ref="B102:B103"/>
    <mergeCell ref="C102:C103"/>
    <mergeCell ref="D102:D103"/>
    <mergeCell ref="E102:E103"/>
    <mergeCell ref="F102:F103"/>
    <mergeCell ref="R106:R107"/>
    <mergeCell ref="A108:A109"/>
    <mergeCell ref="B108:B109"/>
    <mergeCell ref="C108:C109"/>
    <mergeCell ref="D108:D109"/>
    <mergeCell ref="E108:E109"/>
    <mergeCell ref="F108:F109"/>
    <mergeCell ref="R108:R109"/>
    <mergeCell ref="A106:A107"/>
    <mergeCell ref="B106:B107"/>
    <mergeCell ref="C106:C107"/>
    <mergeCell ref="D106:D107"/>
    <mergeCell ref="E106:E107"/>
    <mergeCell ref="F106:F107"/>
    <mergeCell ref="R110:R111"/>
    <mergeCell ref="A112:A113"/>
    <mergeCell ref="B112:B113"/>
    <mergeCell ref="C112:C113"/>
    <mergeCell ref="D112:D113"/>
    <mergeCell ref="E112:E113"/>
    <mergeCell ref="F112:F113"/>
    <mergeCell ref="R112:R113"/>
    <mergeCell ref="A110:A111"/>
    <mergeCell ref="B110:B111"/>
    <mergeCell ref="C110:C111"/>
    <mergeCell ref="D110:D111"/>
    <mergeCell ref="E110:E111"/>
    <mergeCell ref="F110:F111"/>
    <mergeCell ref="R114:R115"/>
    <mergeCell ref="A116:A117"/>
    <mergeCell ref="B116:B117"/>
    <mergeCell ref="C116:C117"/>
    <mergeCell ref="D116:D117"/>
    <mergeCell ref="E116:E117"/>
    <mergeCell ref="F116:F117"/>
    <mergeCell ref="R116:R117"/>
    <mergeCell ref="A114:A115"/>
    <mergeCell ref="B114:B115"/>
    <mergeCell ref="C114:C115"/>
    <mergeCell ref="D114:D115"/>
    <mergeCell ref="E114:E115"/>
    <mergeCell ref="F114:F115"/>
    <mergeCell ref="R118:R119"/>
    <mergeCell ref="A120:A121"/>
    <mergeCell ref="B120:B121"/>
    <mergeCell ref="C120:C121"/>
    <mergeCell ref="D120:D121"/>
    <mergeCell ref="E120:E121"/>
    <mergeCell ref="F120:F121"/>
    <mergeCell ref="R120:R121"/>
    <mergeCell ref="A118:A119"/>
    <mergeCell ref="B118:B119"/>
    <mergeCell ref="C118:C119"/>
    <mergeCell ref="D118:D119"/>
    <mergeCell ref="E118:E119"/>
    <mergeCell ref="F118:F119"/>
    <mergeCell ref="R122:R123"/>
    <mergeCell ref="A124:A127"/>
    <mergeCell ref="B124:B127"/>
    <mergeCell ref="C124:C127"/>
    <mergeCell ref="D124:D127"/>
    <mergeCell ref="E124:E127"/>
    <mergeCell ref="F124:F127"/>
    <mergeCell ref="R124:R127"/>
    <mergeCell ref="A122:A123"/>
    <mergeCell ref="B122:B123"/>
    <mergeCell ref="C122:C123"/>
    <mergeCell ref="D122:D123"/>
    <mergeCell ref="E122:E123"/>
    <mergeCell ref="F122:F123"/>
    <mergeCell ref="S124:S126"/>
    <mergeCell ref="T124:T126"/>
    <mergeCell ref="U124:U126"/>
    <mergeCell ref="A128:A131"/>
    <mergeCell ref="B128:B131"/>
    <mergeCell ref="C128:C131"/>
    <mergeCell ref="D128:D131"/>
    <mergeCell ref="E128:E131"/>
    <mergeCell ref="F128:F131"/>
    <mergeCell ref="G128:G129"/>
    <mergeCell ref="T128:T130"/>
    <mergeCell ref="U128:U130"/>
    <mergeCell ref="S128:S130"/>
    <mergeCell ref="A132:A133"/>
    <mergeCell ref="B132:B133"/>
    <mergeCell ref="C132:C133"/>
    <mergeCell ref="D132:D133"/>
    <mergeCell ref="E132:E133"/>
    <mergeCell ref="F132:F133"/>
    <mergeCell ref="R132:R133"/>
    <mergeCell ref="N128:N129"/>
    <mergeCell ref="O128:O129"/>
    <mergeCell ref="P128:P129"/>
    <mergeCell ref="Q128:Q129"/>
    <mergeCell ref="R128:R131"/>
    <mergeCell ref="H128:H129"/>
    <mergeCell ref="I128:I129"/>
    <mergeCell ref="J128:J129"/>
    <mergeCell ref="K128:K129"/>
    <mergeCell ref="L128:L129"/>
    <mergeCell ref="M128:M129"/>
    <mergeCell ref="A138:A140"/>
    <mergeCell ref="B138:B140"/>
    <mergeCell ref="C138:C140"/>
    <mergeCell ref="D138:D140"/>
    <mergeCell ref="E138:E140"/>
    <mergeCell ref="F138:F140"/>
    <mergeCell ref="C134:G134"/>
    <mergeCell ref="C135:U135"/>
    <mergeCell ref="A136:A137"/>
    <mergeCell ref="B136:B137"/>
    <mergeCell ref="C136:C137"/>
    <mergeCell ref="D136:D137"/>
    <mergeCell ref="E136:E137"/>
    <mergeCell ref="F136:F137"/>
    <mergeCell ref="R136:R137"/>
    <mergeCell ref="S138:S139"/>
    <mergeCell ref="T138:T139"/>
    <mergeCell ref="U138:U139"/>
    <mergeCell ref="O138:O139"/>
    <mergeCell ref="P138:P139"/>
    <mergeCell ref="Q138:Q139"/>
    <mergeCell ref="R138:R140"/>
    <mergeCell ref="C141:C144"/>
    <mergeCell ref="D141:D144"/>
    <mergeCell ref="E141:E144"/>
    <mergeCell ref="F141:F144"/>
    <mergeCell ref="G141:G142"/>
    <mergeCell ref="M138:M139"/>
    <mergeCell ref="N138:N139"/>
    <mergeCell ref="G138:G139"/>
    <mergeCell ref="H138:H139"/>
    <mergeCell ref="I138:I139"/>
    <mergeCell ref="J138:J139"/>
    <mergeCell ref="K138:K139"/>
    <mergeCell ref="L138:L139"/>
    <mergeCell ref="T141:T143"/>
    <mergeCell ref="U141:U143"/>
    <mergeCell ref="A145:A147"/>
    <mergeCell ref="B145:B147"/>
    <mergeCell ref="C145:C147"/>
    <mergeCell ref="D145:D147"/>
    <mergeCell ref="E145:E147"/>
    <mergeCell ref="F145:F147"/>
    <mergeCell ref="R145:R147"/>
    <mergeCell ref="S145:S146"/>
    <mergeCell ref="N141:N142"/>
    <mergeCell ref="O141:O142"/>
    <mergeCell ref="P141:P142"/>
    <mergeCell ref="Q141:Q142"/>
    <mergeCell ref="R141:R144"/>
    <mergeCell ref="S141:S143"/>
    <mergeCell ref="H141:H142"/>
    <mergeCell ref="I141:I142"/>
    <mergeCell ref="J141:J142"/>
    <mergeCell ref="K141:K142"/>
    <mergeCell ref="L141:L142"/>
    <mergeCell ref="M141:M142"/>
    <mergeCell ref="A141:A144"/>
    <mergeCell ref="B141:B144"/>
    <mergeCell ref="A150:A151"/>
    <mergeCell ref="B150:B151"/>
    <mergeCell ref="C150:C151"/>
    <mergeCell ref="D150:D151"/>
    <mergeCell ref="E150:E151"/>
    <mergeCell ref="F150:F151"/>
    <mergeCell ref="T145:T146"/>
    <mergeCell ref="U145:U146"/>
    <mergeCell ref="A148:A149"/>
    <mergeCell ref="B148:B149"/>
    <mergeCell ref="C148:C149"/>
    <mergeCell ref="D148:D149"/>
    <mergeCell ref="E148:E149"/>
    <mergeCell ref="F148:F149"/>
    <mergeCell ref="R152:R153"/>
    <mergeCell ref="A154:A155"/>
    <mergeCell ref="B154:B155"/>
    <mergeCell ref="C154:C155"/>
    <mergeCell ref="D154:D155"/>
    <mergeCell ref="E154:E155"/>
    <mergeCell ref="F154:F155"/>
    <mergeCell ref="R154:R155"/>
    <mergeCell ref="A152:A153"/>
    <mergeCell ref="B152:B153"/>
    <mergeCell ref="C152:C153"/>
    <mergeCell ref="D152:D153"/>
    <mergeCell ref="E152:E153"/>
    <mergeCell ref="F152:F153"/>
    <mergeCell ref="R156:R157"/>
    <mergeCell ref="A158:A159"/>
    <mergeCell ref="B158:B159"/>
    <mergeCell ref="C158:C159"/>
    <mergeCell ref="D158:D159"/>
    <mergeCell ref="E158:E159"/>
    <mergeCell ref="F158:F159"/>
    <mergeCell ref="R158:R159"/>
    <mergeCell ref="A156:A157"/>
    <mergeCell ref="B156:B157"/>
    <mergeCell ref="C156:C157"/>
    <mergeCell ref="D156:D157"/>
    <mergeCell ref="E156:E157"/>
    <mergeCell ref="F156:F157"/>
    <mergeCell ref="R160:R164"/>
    <mergeCell ref="S160:S163"/>
    <mergeCell ref="T160:T163"/>
    <mergeCell ref="U160:U163"/>
    <mergeCell ref="A165:A169"/>
    <mergeCell ref="B165:B169"/>
    <mergeCell ref="C165:C169"/>
    <mergeCell ref="D165:D169"/>
    <mergeCell ref="E165:E169"/>
    <mergeCell ref="F165:F169"/>
    <mergeCell ref="A160:A164"/>
    <mergeCell ref="B160:B164"/>
    <mergeCell ref="C160:C164"/>
    <mergeCell ref="D160:D164"/>
    <mergeCell ref="E160:E164"/>
    <mergeCell ref="F160:F164"/>
    <mergeCell ref="R165:R169"/>
    <mergeCell ref="S165:S168"/>
    <mergeCell ref="T165:T168"/>
    <mergeCell ref="A170:A174"/>
    <mergeCell ref="B170:B174"/>
    <mergeCell ref="C170:C174"/>
    <mergeCell ref="D170:D174"/>
    <mergeCell ref="E170:E174"/>
    <mergeCell ref="F170:F174"/>
    <mergeCell ref="R170:R174"/>
    <mergeCell ref="S170:S173"/>
    <mergeCell ref="T170:T173"/>
    <mergeCell ref="A175:A179"/>
    <mergeCell ref="B175:B179"/>
    <mergeCell ref="C175:C179"/>
    <mergeCell ref="D175:D179"/>
    <mergeCell ref="E175:E179"/>
    <mergeCell ref="F175:F179"/>
    <mergeCell ref="R175:R179"/>
    <mergeCell ref="S175:S178"/>
    <mergeCell ref="T175:T178"/>
    <mergeCell ref="C180:G180"/>
    <mergeCell ref="C181:U181"/>
    <mergeCell ref="A182:A184"/>
    <mergeCell ref="B182:B184"/>
    <mergeCell ref="C182:C184"/>
    <mergeCell ref="D182:D184"/>
    <mergeCell ref="E182:E184"/>
    <mergeCell ref="F182:F184"/>
    <mergeCell ref="R182:R184"/>
    <mergeCell ref="S182:S183"/>
    <mergeCell ref="T182:T183"/>
    <mergeCell ref="U182:U183"/>
    <mergeCell ref="U185:U187"/>
    <mergeCell ref="A189:A190"/>
    <mergeCell ref="B189:B190"/>
    <mergeCell ref="C189:C190"/>
    <mergeCell ref="D189:D190"/>
    <mergeCell ref="E189:E190"/>
    <mergeCell ref="F189:F190"/>
    <mergeCell ref="R189:R190"/>
    <mergeCell ref="C195:G195"/>
    <mergeCell ref="A185:A188"/>
    <mergeCell ref="B185:B188"/>
    <mergeCell ref="C185:C188"/>
    <mergeCell ref="D185:D188"/>
    <mergeCell ref="E185:E188"/>
    <mergeCell ref="F185:F188"/>
    <mergeCell ref="R185:R188"/>
    <mergeCell ref="S185:S187"/>
    <mergeCell ref="T185:T187"/>
    <mergeCell ref="B196:G196"/>
    <mergeCell ref="A197:G197"/>
    <mergeCell ref="R191:R192"/>
    <mergeCell ref="A193:A194"/>
    <mergeCell ref="B193:B194"/>
    <mergeCell ref="C193:C194"/>
    <mergeCell ref="D193:D194"/>
    <mergeCell ref="E193:E194"/>
    <mergeCell ref="F193:F194"/>
    <mergeCell ref="R193:R194"/>
    <mergeCell ref="A191:A192"/>
    <mergeCell ref="B191:B192"/>
    <mergeCell ref="C191:C192"/>
    <mergeCell ref="D191:D192"/>
    <mergeCell ref="E191:E192"/>
    <mergeCell ref="F191:F192"/>
  </mergeCells>
  <conditionalFormatting sqref="S184:T184 S137:T137 S140:T140 S53:T53 R8:T8 S51:T51 S49:T49 S46:T46 S16:T16 S18:T18 S20:T20 S22:T22 S24:T24 S44:T44 S105:T105 S144:T144 U189 H16:Q16 H18:Q18 H20:Q20 H22:Q22 H24:Q24 H44:Q44 H46:Q46 H49:Q49 H51:Q51 H53:Q53 H105:Q105 H137:Q137 H140:Q140 H144:Q144 H147:Q153 H184:Q184 H188:Q194 S147:T153 S188:T194 A196:T197 U131:U133">
    <cfRule type="cellIs" dxfId="83" priority="83" stopIfTrue="1" operator="equal">
      <formula>0</formula>
    </cfRule>
  </conditionalFormatting>
  <conditionalFormatting sqref="S138:T138 P141:P143 J138:K138 N52:Q52 J52:K52 S48 O47 S50:T50 K47:N48 J50:O50 N138:P138 S47:T47">
    <cfRule type="cellIs" dxfId="82" priority="82" stopIfTrue="1" operator="equal">
      <formula>0</formula>
    </cfRule>
  </conditionalFormatting>
  <conditionalFormatting sqref="S161 S164:T164 H164:Q164 S160:T160">
    <cfRule type="cellIs" dxfId="81" priority="81" stopIfTrue="1" operator="equal">
      <formula>0</formula>
    </cfRule>
  </conditionalFormatting>
  <conditionalFormatting sqref="K146 O146:Q146">
    <cfRule type="cellIs" dxfId="80" priority="80" stopIfTrue="1" operator="equal">
      <formula>0</formula>
    </cfRule>
  </conditionalFormatting>
  <conditionalFormatting sqref="L138:M138">
    <cfRule type="cellIs" dxfId="79" priority="79" stopIfTrue="1" operator="equal">
      <formula>0</formula>
    </cfRule>
  </conditionalFormatting>
  <conditionalFormatting sqref="L146:N146">
    <cfRule type="cellIs" dxfId="78" priority="78" stopIfTrue="1" operator="equal">
      <formula>0</formula>
    </cfRule>
  </conditionalFormatting>
  <conditionalFormatting sqref="H47:J48">
    <cfRule type="cellIs" dxfId="77" priority="77" stopIfTrue="1" operator="equal">
      <formula>0</formula>
    </cfRule>
  </conditionalFormatting>
  <conditionalFormatting sqref="H50:I50">
    <cfRule type="cellIs" dxfId="76" priority="76" stopIfTrue="1" operator="equal">
      <formula>0</formula>
    </cfRule>
  </conditionalFormatting>
  <conditionalFormatting sqref="H138:I138">
    <cfRule type="cellIs" dxfId="75" priority="75" stopIfTrue="1" operator="equal">
      <formula>0</formula>
    </cfRule>
  </conditionalFormatting>
  <conditionalFormatting sqref="H146:J146">
    <cfRule type="cellIs" dxfId="74" priority="74" stopIfTrue="1" operator="equal">
      <formula>0</formula>
    </cfRule>
  </conditionalFormatting>
  <conditionalFormatting sqref="H160:Q160">
    <cfRule type="cellIs" dxfId="73" priority="73" stopIfTrue="1" operator="equal">
      <formula>0</formula>
    </cfRule>
  </conditionalFormatting>
  <conditionalFormatting sqref="H161:Q161">
    <cfRule type="cellIs" dxfId="72" priority="72" stopIfTrue="1" operator="equal">
      <formula>0</formula>
    </cfRule>
  </conditionalFormatting>
  <conditionalFormatting sqref="H162:Q162">
    <cfRule type="cellIs" dxfId="71" priority="71" stopIfTrue="1" operator="equal">
      <formula>0</formula>
    </cfRule>
  </conditionalFormatting>
  <conditionalFormatting sqref="H163:Q163">
    <cfRule type="cellIs" dxfId="70" priority="70" stopIfTrue="1" operator="equal">
      <formula>0</formula>
    </cfRule>
  </conditionalFormatting>
  <conditionalFormatting sqref="S145:T145">
    <cfRule type="cellIs" dxfId="69" priority="69" stopIfTrue="1" operator="equal">
      <formula>0</formula>
    </cfRule>
  </conditionalFormatting>
  <conditionalFormatting sqref="S154:T155 H154:Q155">
    <cfRule type="cellIs" dxfId="68" priority="68" stopIfTrue="1" operator="equal">
      <formula>0</formula>
    </cfRule>
  </conditionalFormatting>
  <conditionalFormatting sqref="S156:T157 H156:Q157">
    <cfRule type="cellIs" dxfId="67" priority="67" stopIfTrue="1" operator="equal">
      <formula>0</formula>
    </cfRule>
  </conditionalFormatting>
  <conditionalFormatting sqref="S158:T159 H158:Q159">
    <cfRule type="cellIs" dxfId="66" priority="66" stopIfTrue="1" operator="equal">
      <formula>0</formula>
    </cfRule>
  </conditionalFormatting>
  <conditionalFormatting sqref="S165:T166 S169:T169 L165:Q168 H169:Q169">
    <cfRule type="cellIs" dxfId="65" priority="65" stopIfTrue="1" operator="equal">
      <formula>0</formula>
    </cfRule>
  </conditionalFormatting>
  <conditionalFormatting sqref="H165:K165">
    <cfRule type="cellIs" dxfId="64" priority="64" stopIfTrue="1" operator="equal">
      <formula>0</formula>
    </cfRule>
  </conditionalFormatting>
  <conditionalFormatting sqref="H166:K166">
    <cfRule type="cellIs" dxfId="63" priority="63" stopIfTrue="1" operator="equal">
      <formula>0</formula>
    </cfRule>
  </conditionalFormatting>
  <conditionalFormatting sqref="H167:K167">
    <cfRule type="cellIs" dxfId="62" priority="62" stopIfTrue="1" operator="equal">
      <formula>0</formula>
    </cfRule>
  </conditionalFormatting>
  <conditionalFormatting sqref="H168:K168">
    <cfRule type="cellIs" dxfId="61" priority="61" stopIfTrue="1" operator="equal">
      <formula>0</formula>
    </cfRule>
  </conditionalFormatting>
  <conditionalFormatting sqref="S175:T176 S179:T179 L175:Q178 H179:Q179">
    <cfRule type="cellIs" dxfId="60" priority="60" stopIfTrue="1" operator="equal">
      <formula>0</formula>
    </cfRule>
  </conditionalFormatting>
  <conditionalFormatting sqref="H175:K175">
    <cfRule type="cellIs" dxfId="59" priority="59" stopIfTrue="1" operator="equal">
      <formula>0</formula>
    </cfRule>
  </conditionalFormatting>
  <conditionalFormatting sqref="H176:K176">
    <cfRule type="cellIs" dxfId="58" priority="58" stopIfTrue="1" operator="equal">
      <formula>0</formula>
    </cfRule>
  </conditionalFormatting>
  <conditionalFormatting sqref="H177:K177">
    <cfRule type="cellIs" dxfId="57" priority="57" stopIfTrue="1" operator="equal">
      <formula>0</formula>
    </cfRule>
  </conditionalFormatting>
  <conditionalFormatting sqref="H178:K178">
    <cfRule type="cellIs" dxfId="56" priority="56" stopIfTrue="1" operator="equal">
      <formula>0</formula>
    </cfRule>
  </conditionalFormatting>
  <conditionalFormatting sqref="S170:T171 S174:T174 L170:Q173 H174:Q174">
    <cfRule type="cellIs" dxfId="55" priority="55" stopIfTrue="1" operator="equal">
      <formula>0</formula>
    </cfRule>
  </conditionalFormatting>
  <conditionalFormatting sqref="H170:K170">
    <cfRule type="cellIs" dxfId="54" priority="54" stopIfTrue="1" operator="equal">
      <formula>0</formula>
    </cfRule>
  </conditionalFormatting>
  <conditionalFormatting sqref="H171:K171">
    <cfRule type="cellIs" dxfId="53" priority="53" stopIfTrue="1" operator="equal">
      <formula>0</formula>
    </cfRule>
  </conditionalFormatting>
  <conditionalFormatting sqref="H172:K172">
    <cfRule type="cellIs" dxfId="52" priority="52" stopIfTrue="1" operator="equal">
      <formula>0</formula>
    </cfRule>
  </conditionalFormatting>
  <conditionalFormatting sqref="H173:K173">
    <cfRule type="cellIs" dxfId="51" priority="51" stopIfTrue="1" operator="equal">
      <formula>0</formula>
    </cfRule>
  </conditionalFormatting>
  <conditionalFormatting sqref="S26:T26 H26:Q26">
    <cfRule type="cellIs" dxfId="50" priority="50" stopIfTrue="1" operator="equal">
      <formula>0</formula>
    </cfRule>
  </conditionalFormatting>
  <conditionalFormatting sqref="S28:T28 H28:Q28">
    <cfRule type="cellIs" dxfId="49" priority="49" stopIfTrue="1" operator="equal">
      <formula>0</formula>
    </cfRule>
  </conditionalFormatting>
  <conditionalFormatting sqref="S30:T30 H30:Q30">
    <cfRule type="cellIs" dxfId="48" priority="48" stopIfTrue="1" operator="equal">
      <formula>0</formula>
    </cfRule>
  </conditionalFormatting>
  <conditionalFormatting sqref="S32:T32 H32:Q32">
    <cfRule type="cellIs" dxfId="47" priority="47" stopIfTrue="1" operator="equal">
      <formula>0</formula>
    </cfRule>
  </conditionalFormatting>
  <conditionalFormatting sqref="S34:T34 H34:Q34">
    <cfRule type="cellIs" dxfId="46" priority="46" stopIfTrue="1" operator="equal">
      <formula>0</formula>
    </cfRule>
  </conditionalFormatting>
  <conditionalFormatting sqref="S36:T36 H36:Q36">
    <cfRule type="cellIs" dxfId="45" priority="45" stopIfTrue="1" operator="equal">
      <formula>0</formula>
    </cfRule>
  </conditionalFormatting>
  <conditionalFormatting sqref="S38:T38 H38:Q38">
    <cfRule type="cellIs" dxfId="44" priority="44" stopIfTrue="1" operator="equal">
      <formula>0</formula>
    </cfRule>
  </conditionalFormatting>
  <conditionalFormatting sqref="S40:T40 H40:Q40">
    <cfRule type="cellIs" dxfId="43" priority="43" stopIfTrue="1" operator="equal">
      <formula>0</formula>
    </cfRule>
  </conditionalFormatting>
  <conditionalFormatting sqref="S42:T42 H42:Q42">
    <cfRule type="cellIs" dxfId="42" priority="42" stopIfTrue="1" operator="equal">
      <formula>0</formula>
    </cfRule>
  </conditionalFormatting>
  <conditionalFormatting sqref="S107:T107 H107:Q107">
    <cfRule type="cellIs" dxfId="41" priority="41" stopIfTrue="1" operator="equal">
      <formula>0</formula>
    </cfRule>
  </conditionalFormatting>
  <conditionalFormatting sqref="S109:T109 H109:Q109">
    <cfRule type="cellIs" dxfId="40" priority="40" stopIfTrue="1" operator="equal">
      <formula>0</formula>
    </cfRule>
  </conditionalFormatting>
  <conditionalFormatting sqref="S111:T111 H111:Q111">
    <cfRule type="cellIs" dxfId="39" priority="39" stopIfTrue="1" operator="equal">
      <formula>0</formula>
    </cfRule>
  </conditionalFormatting>
  <conditionalFormatting sqref="S113:T113 H113:Q113">
    <cfRule type="cellIs" dxfId="38" priority="38" stopIfTrue="1" operator="equal">
      <formula>0</formula>
    </cfRule>
  </conditionalFormatting>
  <conditionalFormatting sqref="S115:T115 H115:Q115">
    <cfRule type="cellIs" dxfId="37" priority="37" stopIfTrue="1" operator="equal">
      <formula>0</formula>
    </cfRule>
  </conditionalFormatting>
  <conditionalFormatting sqref="S117:T117 H117:Q117">
    <cfRule type="cellIs" dxfId="36" priority="36" stopIfTrue="1" operator="equal">
      <formula>0</formula>
    </cfRule>
  </conditionalFormatting>
  <conditionalFormatting sqref="S119:T119 H119:Q119">
    <cfRule type="cellIs" dxfId="35" priority="35" stopIfTrue="1" operator="equal">
      <formula>0</formula>
    </cfRule>
  </conditionalFormatting>
  <conditionalFormatting sqref="S121:T121 H121:Q121">
    <cfRule type="cellIs" dxfId="34" priority="34" stopIfTrue="1" operator="equal">
      <formula>0</formula>
    </cfRule>
  </conditionalFormatting>
  <conditionalFormatting sqref="S123:T123 H123:Q123">
    <cfRule type="cellIs" dxfId="33" priority="33" stopIfTrue="1" operator="equal">
      <formula>0</formula>
    </cfRule>
  </conditionalFormatting>
  <conditionalFormatting sqref="H78:Q79 S78:T79">
    <cfRule type="cellIs" dxfId="32" priority="32" stopIfTrue="1" operator="equal">
      <formula>0</formula>
    </cfRule>
  </conditionalFormatting>
  <conditionalFormatting sqref="U16">
    <cfRule type="cellIs" dxfId="31" priority="31" stopIfTrue="1" operator="equal">
      <formula>0</formula>
    </cfRule>
  </conditionalFormatting>
  <conditionalFormatting sqref="U18">
    <cfRule type="cellIs" dxfId="30" priority="30" stopIfTrue="1" operator="equal">
      <formula>0</formula>
    </cfRule>
  </conditionalFormatting>
  <conditionalFormatting sqref="U20">
    <cfRule type="cellIs" dxfId="29" priority="29" stopIfTrue="1" operator="equal">
      <formula>0</formula>
    </cfRule>
  </conditionalFormatting>
  <conditionalFormatting sqref="U22">
    <cfRule type="cellIs" dxfId="28" priority="28" stopIfTrue="1" operator="equal">
      <formula>0</formula>
    </cfRule>
  </conditionalFormatting>
  <conditionalFormatting sqref="U24">
    <cfRule type="cellIs" dxfId="27" priority="27" stopIfTrue="1" operator="equal">
      <formula>0</formula>
    </cfRule>
  </conditionalFormatting>
  <conditionalFormatting sqref="U196">
    <cfRule type="cellIs" dxfId="26" priority="12" stopIfTrue="1" operator="equal">
      <formula>0</formula>
    </cfRule>
  </conditionalFormatting>
  <conditionalFormatting sqref="U44">
    <cfRule type="cellIs" dxfId="25" priority="26" stopIfTrue="1" operator="equal">
      <formula>0</formula>
    </cfRule>
  </conditionalFormatting>
  <conditionalFormatting sqref="U46">
    <cfRule type="cellIs" dxfId="24" priority="25" stopIfTrue="1" operator="equal">
      <formula>0</formula>
    </cfRule>
  </conditionalFormatting>
  <conditionalFormatting sqref="U49">
    <cfRule type="cellIs" dxfId="23" priority="24" stopIfTrue="1" operator="equal">
      <formula>0</formula>
    </cfRule>
  </conditionalFormatting>
  <conditionalFormatting sqref="U51">
    <cfRule type="cellIs" dxfId="22" priority="23" stopIfTrue="1" operator="equal">
      <formula>0</formula>
    </cfRule>
  </conditionalFormatting>
  <conditionalFormatting sqref="U197">
    <cfRule type="cellIs" dxfId="21" priority="11" stopIfTrue="1" operator="equal">
      <formula>0</formula>
    </cfRule>
  </conditionalFormatting>
  <conditionalFormatting sqref="U53">
    <cfRule type="cellIs" dxfId="20" priority="22" stopIfTrue="1" operator="equal">
      <formula>0</formula>
    </cfRule>
  </conditionalFormatting>
  <conditionalFormatting sqref="U55">
    <cfRule type="cellIs" dxfId="19" priority="21" stopIfTrue="1" operator="equal">
      <formula>0</formula>
    </cfRule>
  </conditionalFormatting>
  <conditionalFormatting sqref="U58">
    <cfRule type="cellIs" dxfId="18" priority="20" stopIfTrue="1" operator="equal">
      <formula>0</formula>
    </cfRule>
  </conditionalFormatting>
  <conditionalFormatting sqref="U61">
    <cfRule type="cellIs" dxfId="17" priority="19" stopIfTrue="1" operator="equal">
      <formula>0</formula>
    </cfRule>
  </conditionalFormatting>
  <conditionalFormatting sqref="U79">
    <cfRule type="cellIs" dxfId="16" priority="18" stopIfTrue="1" operator="equal">
      <formula>0</formula>
    </cfRule>
  </conditionalFormatting>
  <conditionalFormatting sqref="U81">
    <cfRule type="cellIs" dxfId="15" priority="17" stopIfTrue="1" operator="equal">
      <formula>0</formula>
    </cfRule>
  </conditionalFormatting>
  <conditionalFormatting sqref="U85">
    <cfRule type="cellIs" dxfId="14" priority="16" stopIfTrue="1" operator="equal">
      <formula>0</formula>
    </cfRule>
  </conditionalFormatting>
  <conditionalFormatting sqref="U87">
    <cfRule type="cellIs" dxfId="13" priority="15" stopIfTrue="1" operator="equal">
      <formula>0</formula>
    </cfRule>
  </conditionalFormatting>
  <conditionalFormatting sqref="U190:U194">
    <cfRule type="cellIs" dxfId="12" priority="2" stopIfTrue="1" operator="equal">
      <formula>0</formula>
    </cfRule>
  </conditionalFormatting>
  <conditionalFormatting sqref="U105">
    <cfRule type="cellIs" dxfId="11" priority="14" stopIfTrue="1" operator="equal">
      <formula>0</formula>
    </cfRule>
  </conditionalFormatting>
  <conditionalFormatting sqref="U127">
    <cfRule type="cellIs" dxfId="10" priority="13" stopIfTrue="1" operator="equal">
      <formula>0</formula>
    </cfRule>
  </conditionalFormatting>
  <conditionalFormatting sqref="U164">
    <cfRule type="cellIs" dxfId="9" priority="5" stopIfTrue="1" operator="equal">
      <formula>0</formula>
    </cfRule>
  </conditionalFormatting>
  <conditionalFormatting sqref="U137">
    <cfRule type="cellIs" dxfId="8" priority="10" stopIfTrue="1" operator="equal">
      <formula>0</formula>
    </cfRule>
  </conditionalFormatting>
  <conditionalFormatting sqref="U140">
    <cfRule type="cellIs" dxfId="7" priority="9" stopIfTrue="1" operator="equal">
      <formula>0</formula>
    </cfRule>
  </conditionalFormatting>
  <conditionalFormatting sqref="U144">
    <cfRule type="cellIs" dxfId="6" priority="8" stopIfTrue="1" operator="equal">
      <formula>0</formula>
    </cfRule>
  </conditionalFormatting>
  <conditionalFormatting sqref="U147:U151">
    <cfRule type="cellIs" dxfId="5" priority="7" stopIfTrue="1" operator="equal">
      <formula>0</formula>
    </cfRule>
  </conditionalFormatting>
  <conditionalFormatting sqref="U153">
    <cfRule type="cellIs" dxfId="4" priority="6" stopIfTrue="1" operator="equal">
      <formula>0</formula>
    </cfRule>
  </conditionalFormatting>
  <conditionalFormatting sqref="U184">
    <cfRule type="cellIs" dxfId="3" priority="4" stopIfTrue="1" operator="equal">
      <formula>0</formula>
    </cfRule>
  </conditionalFormatting>
  <conditionalFormatting sqref="U188">
    <cfRule type="cellIs" dxfId="2" priority="3" stopIfTrue="1" operator="equal">
      <formula>0</formula>
    </cfRule>
  </conditionalFormatting>
  <conditionalFormatting sqref="S52:T52">
    <cfRule type="cellIs" dxfId="1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firstPageNumber="20" orientation="landscape" useFirstPageNumber="1" r:id="rId1"/>
  <headerFooter>
    <oddHeader>&amp;C&amp;P</oddHeader>
  </headerFooter>
  <rowBreaks count="2" manualBreakCount="2">
    <brk id="49" max="22" man="1"/>
    <brk id="1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topLeftCell="A33" zoomScaleNormal="100" workbookViewId="0">
      <selection activeCell="AI127" sqref="AI127"/>
    </sheetView>
  </sheetViews>
  <sheetFormatPr defaultRowHeight="11.25" outlineLevelRow="1" x14ac:dyDescent="0.2"/>
  <cols>
    <col min="1" max="1" width="3.5703125" style="524" customWidth="1"/>
    <col min="2" max="2" width="3.7109375" style="524" customWidth="1"/>
    <col min="3" max="3" width="4.28515625" style="524" customWidth="1"/>
    <col min="4" max="4" width="17.85546875" style="524" customWidth="1"/>
    <col min="5" max="5" width="9.5703125" style="524" customWidth="1"/>
    <col min="6" max="6" width="5.42578125" style="524" customWidth="1"/>
    <col min="7" max="7" width="10.5703125" style="229" customWidth="1"/>
    <col min="8" max="8" width="9.42578125" style="524" customWidth="1"/>
    <col min="9" max="9" width="9.28515625" style="524" customWidth="1"/>
    <col min="10" max="10" width="7.7109375" style="524" customWidth="1"/>
    <col min="11" max="11" width="6.140625" style="524" customWidth="1"/>
    <col min="12" max="12" width="10" style="524" customWidth="1"/>
    <col min="13" max="13" width="8.85546875" style="524" customWidth="1"/>
    <col min="14" max="14" width="7.42578125" style="524" customWidth="1"/>
    <col min="15" max="15" width="7.85546875" style="524" customWidth="1"/>
    <col min="16" max="16" width="13.28515625" style="524" customWidth="1"/>
    <col min="17" max="17" width="10" style="524" customWidth="1"/>
    <col min="18" max="18" width="17.42578125" style="524" customWidth="1"/>
    <col min="19" max="20" width="6.5703125" style="524" customWidth="1"/>
    <col min="21" max="21" width="18.42578125" style="524" customWidth="1"/>
    <col min="22" max="22" width="9.140625" style="524"/>
    <col min="23" max="29" width="9.140625" style="524" hidden="1" customWidth="1"/>
    <col min="30" max="30" width="0" style="524" hidden="1" customWidth="1"/>
    <col min="31" max="256" width="9.140625" style="524"/>
    <col min="257" max="257" width="3.5703125" style="524" customWidth="1"/>
    <col min="258" max="258" width="3.7109375" style="524" customWidth="1"/>
    <col min="259" max="259" width="4.28515625" style="524" customWidth="1"/>
    <col min="260" max="260" width="17.85546875" style="524" customWidth="1"/>
    <col min="261" max="261" width="9.5703125" style="524" customWidth="1"/>
    <col min="262" max="262" width="5.42578125" style="524" customWidth="1"/>
    <col min="263" max="263" width="10.5703125" style="524" customWidth="1"/>
    <col min="264" max="264" width="9.42578125" style="524" customWidth="1"/>
    <col min="265" max="265" width="9.28515625" style="524" customWidth="1"/>
    <col min="266" max="266" width="7.7109375" style="524" customWidth="1"/>
    <col min="267" max="267" width="6.140625" style="524" customWidth="1"/>
    <col min="268" max="268" width="10" style="524" customWidth="1"/>
    <col min="269" max="269" width="8.85546875" style="524" customWidth="1"/>
    <col min="270" max="270" width="7.42578125" style="524" customWidth="1"/>
    <col min="271" max="271" width="7.85546875" style="524" customWidth="1"/>
    <col min="272" max="272" width="13.28515625" style="524" customWidth="1"/>
    <col min="273" max="273" width="10" style="524" customWidth="1"/>
    <col min="274" max="274" width="17.42578125" style="524" customWidth="1"/>
    <col min="275" max="276" width="6.5703125" style="524" customWidth="1"/>
    <col min="277" max="277" width="18.42578125" style="524" customWidth="1"/>
    <col min="278" max="278" width="9.140625" style="524"/>
    <col min="279" max="286" width="0" style="524" hidden="1" customWidth="1"/>
    <col min="287" max="512" width="9.140625" style="524"/>
    <col min="513" max="513" width="3.5703125" style="524" customWidth="1"/>
    <col min="514" max="514" width="3.7109375" style="524" customWidth="1"/>
    <col min="515" max="515" width="4.28515625" style="524" customWidth="1"/>
    <col min="516" max="516" width="17.85546875" style="524" customWidth="1"/>
    <col min="517" max="517" width="9.5703125" style="524" customWidth="1"/>
    <col min="518" max="518" width="5.42578125" style="524" customWidth="1"/>
    <col min="519" max="519" width="10.5703125" style="524" customWidth="1"/>
    <col min="520" max="520" width="9.42578125" style="524" customWidth="1"/>
    <col min="521" max="521" width="9.28515625" style="524" customWidth="1"/>
    <col min="522" max="522" width="7.7109375" style="524" customWidth="1"/>
    <col min="523" max="523" width="6.140625" style="524" customWidth="1"/>
    <col min="524" max="524" width="10" style="524" customWidth="1"/>
    <col min="525" max="525" width="8.85546875" style="524" customWidth="1"/>
    <col min="526" max="526" width="7.42578125" style="524" customWidth="1"/>
    <col min="527" max="527" width="7.85546875" style="524" customWidth="1"/>
    <col min="528" max="528" width="13.28515625" style="524" customWidth="1"/>
    <col min="529" max="529" width="10" style="524" customWidth="1"/>
    <col min="530" max="530" width="17.42578125" style="524" customWidth="1"/>
    <col min="531" max="532" width="6.5703125" style="524" customWidth="1"/>
    <col min="533" max="533" width="18.42578125" style="524" customWidth="1"/>
    <col min="534" max="534" width="9.140625" style="524"/>
    <col min="535" max="542" width="0" style="524" hidden="1" customWidth="1"/>
    <col min="543" max="768" width="9.140625" style="524"/>
    <col min="769" max="769" width="3.5703125" style="524" customWidth="1"/>
    <col min="770" max="770" width="3.7109375" style="524" customWidth="1"/>
    <col min="771" max="771" width="4.28515625" style="524" customWidth="1"/>
    <col min="772" max="772" width="17.85546875" style="524" customWidth="1"/>
    <col min="773" max="773" width="9.5703125" style="524" customWidth="1"/>
    <col min="774" max="774" width="5.42578125" style="524" customWidth="1"/>
    <col min="775" max="775" width="10.5703125" style="524" customWidth="1"/>
    <col min="776" max="776" width="9.42578125" style="524" customWidth="1"/>
    <col min="777" max="777" width="9.28515625" style="524" customWidth="1"/>
    <col min="778" max="778" width="7.7109375" style="524" customWidth="1"/>
    <col min="779" max="779" width="6.140625" style="524" customWidth="1"/>
    <col min="780" max="780" width="10" style="524" customWidth="1"/>
    <col min="781" max="781" width="8.85546875" style="524" customWidth="1"/>
    <col min="782" max="782" width="7.42578125" style="524" customWidth="1"/>
    <col min="783" max="783" width="7.85546875" style="524" customWidth="1"/>
    <col min="784" max="784" width="13.28515625" style="524" customWidth="1"/>
    <col min="785" max="785" width="10" style="524" customWidth="1"/>
    <col min="786" max="786" width="17.42578125" style="524" customWidth="1"/>
    <col min="787" max="788" width="6.5703125" style="524" customWidth="1"/>
    <col min="789" max="789" width="18.42578125" style="524" customWidth="1"/>
    <col min="790" max="790" width="9.140625" style="524"/>
    <col min="791" max="798" width="0" style="524" hidden="1" customWidth="1"/>
    <col min="799" max="1024" width="9.140625" style="524"/>
    <col min="1025" max="1025" width="3.5703125" style="524" customWidth="1"/>
    <col min="1026" max="1026" width="3.7109375" style="524" customWidth="1"/>
    <col min="1027" max="1027" width="4.28515625" style="524" customWidth="1"/>
    <col min="1028" max="1028" width="17.85546875" style="524" customWidth="1"/>
    <col min="1029" max="1029" width="9.5703125" style="524" customWidth="1"/>
    <col min="1030" max="1030" width="5.42578125" style="524" customWidth="1"/>
    <col min="1031" max="1031" width="10.5703125" style="524" customWidth="1"/>
    <col min="1032" max="1032" width="9.42578125" style="524" customWidth="1"/>
    <col min="1033" max="1033" width="9.28515625" style="524" customWidth="1"/>
    <col min="1034" max="1034" width="7.7109375" style="524" customWidth="1"/>
    <col min="1035" max="1035" width="6.140625" style="524" customWidth="1"/>
    <col min="1036" max="1036" width="10" style="524" customWidth="1"/>
    <col min="1037" max="1037" width="8.85546875" style="524" customWidth="1"/>
    <col min="1038" max="1038" width="7.42578125" style="524" customWidth="1"/>
    <col min="1039" max="1039" width="7.85546875" style="524" customWidth="1"/>
    <col min="1040" max="1040" width="13.28515625" style="524" customWidth="1"/>
    <col min="1041" max="1041" width="10" style="524" customWidth="1"/>
    <col min="1042" max="1042" width="17.42578125" style="524" customWidth="1"/>
    <col min="1043" max="1044" width="6.5703125" style="524" customWidth="1"/>
    <col min="1045" max="1045" width="18.42578125" style="524" customWidth="1"/>
    <col min="1046" max="1046" width="9.140625" style="524"/>
    <col min="1047" max="1054" width="0" style="524" hidden="1" customWidth="1"/>
    <col min="1055" max="1280" width="9.140625" style="524"/>
    <col min="1281" max="1281" width="3.5703125" style="524" customWidth="1"/>
    <col min="1282" max="1282" width="3.7109375" style="524" customWidth="1"/>
    <col min="1283" max="1283" width="4.28515625" style="524" customWidth="1"/>
    <col min="1284" max="1284" width="17.85546875" style="524" customWidth="1"/>
    <col min="1285" max="1285" width="9.5703125" style="524" customWidth="1"/>
    <col min="1286" max="1286" width="5.42578125" style="524" customWidth="1"/>
    <col min="1287" max="1287" width="10.5703125" style="524" customWidth="1"/>
    <col min="1288" max="1288" width="9.42578125" style="524" customWidth="1"/>
    <col min="1289" max="1289" width="9.28515625" style="524" customWidth="1"/>
    <col min="1290" max="1290" width="7.7109375" style="524" customWidth="1"/>
    <col min="1291" max="1291" width="6.140625" style="524" customWidth="1"/>
    <col min="1292" max="1292" width="10" style="524" customWidth="1"/>
    <col min="1293" max="1293" width="8.85546875" style="524" customWidth="1"/>
    <col min="1294" max="1294" width="7.42578125" style="524" customWidth="1"/>
    <col min="1295" max="1295" width="7.85546875" style="524" customWidth="1"/>
    <col min="1296" max="1296" width="13.28515625" style="524" customWidth="1"/>
    <col min="1297" max="1297" width="10" style="524" customWidth="1"/>
    <col min="1298" max="1298" width="17.42578125" style="524" customWidth="1"/>
    <col min="1299" max="1300" width="6.5703125" style="524" customWidth="1"/>
    <col min="1301" max="1301" width="18.42578125" style="524" customWidth="1"/>
    <col min="1302" max="1302" width="9.140625" style="524"/>
    <col min="1303" max="1310" width="0" style="524" hidden="1" customWidth="1"/>
    <col min="1311" max="1536" width="9.140625" style="524"/>
    <col min="1537" max="1537" width="3.5703125" style="524" customWidth="1"/>
    <col min="1538" max="1538" width="3.7109375" style="524" customWidth="1"/>
    <col min="1539" max="1539" width="4.28515625" style="524" customWidth="1"/>
    <col min="1540" max="1540" width="17.85546875" style="524" customWidth="1"/>
    <col min="1541" max="1541" width="9.5703125" style="524" customWidth="1"/>
    <col min="1542" max="1542" width="5.42578125" style="524" customWidth="1"/>
    <col min="1543" max="1543" width="10.5703125" style="524" customWidth="1"/>
    <col min="1544" max="1544" width="9.42578125" style="524" customWidth="1"/>
    <col min="1545" max="1545" width="9.28515625" style="524" customWidth="1"/>
    <col min="1546" max="1546" width="7.7109375" style="524" customWidth="1"/>
    <col min="1547" max="1547" width="6.140625" style="524" customWidth="1"/>
    <col min="1548" max="1548" width="10" style="524" customWidth="1"/>
    <col min="1549" max="1549" width="8.85546875" style="524" customWidth="1"/>
    <col min="1550" max="1550" width="7.42578125" style="524" customWidth="1"/>
    <col min="1551" max="1551" width="7.85546875" style="524" customWidth="1"/>
    <col min="1552" max="1552" width="13.28515625" style="524" customWidth="1"/>
    <col min="1553" max="1553" width="10" style="524" customWidth="1"/>
    <col min="1554" max="1554" width="17.42578125" style="524" customWidth="1"/>
    <col min="1555" max="1556" width="6.5703125" style="524" customWidth="1"/>
    <col min="1557" max="1557" width="18.42578125" style="524" customWidth="1"/>
    <col min="1558" max="1558" width="9.140625" style="524"/>
    <col min="1559" max="1566" width="0" style="524" hidden="1" customWidth="1"/>
    <col min="1567" max="1792" width="9.140625" style="524"/>
    <col min="1793" max="1793" width="3.5703125" style="524" customWidth="1"/>
    <col min="1794" max="1794" width="3.7109375" style="524" customWidth="1"/>
    <col min="1795" max="1795" width="4.28515625" style="524" customWidth="1"/>
    <col min="1796" max="1796" width="17.85546875" style="524" customWidth="1"/>
    <col min="1797" max="1797" width="9.5703125" style="524" customWidth="1"/>
    <col min="1798" max="1798" width="5.42578125" style="524" customWidth="1"/>
    <col min="1799" max="1799" width="10.5703125" style="524" customWidth="1"/>
    <col min="1800" max="1800" width="9.42578125" style="524" customWidth="1"/>
    <col min="1801" max="1801" width="9.28515625" style="524" customWidth="1"/>
    <col min="1802" max="1802" width="7.7109375" style="524" customWidth="1"/>
    <col min="1803" max="1803" width="6.140625" style="524" customWidth="1"/>
    <col min="1804" max="1804" width="10" style="524" customWidth="1"/>
    <col min="1805" max="1805" width="8.85546875" style="524" customWidth="1"/>
    <col min="1806" max="1806" width="7.42578125" style="524" customWidth="1"/>
    <col min="1807" max="1807" width="7.85546875" style="524" customWidth="1"/>
    <col min="1808" max="1808" width="13.28515625" style="524" customWidth="1"/>
    <col min="1809" max="1809" width="10" style="524" customWidth="1"/>
    <col min="1810" max="1810" width="17.42578125" style="524" customWidth="1"/>
    <col min="1811" max="1812" width="6.5703125" style="524" customWidth="1"/>
    <col min="1813" max="1813" width="18.42578125" style="524" customWidth="1"/>
    <col min="1814" max="1814" width="9.140625" style="524"/>
    <col min="1815" max="1822" width="0" style="524" hidden="1" customWidth="1"/>
    <col min="1823" max="2048" width="9.140625" style="524"/>
    <col min="2049" max="2049" width="3.5703125" style="524" customWidth="1"/>
    <col min="2050" max="2050" width="3.7109375" style="524" customWidth="1"/>
    <col min="2051" max="2051" width="4.28515625" style="524" customWidth="1"/>
    <col min="2052" max="2052" width="17.85546875" style="524" customWidth="1"/>
    <col min="2053" max="2053" width="9.5703125" style="524" customWidth="1"/>
    <col min="2054" max="2054" width="5.42578125" style="524" customWidth="1"/>
    <col min="2055" max="2055" width="10.5703125" style="524" customWidth="1"/>
    <col min="2056" max="2056" width="9.42578125" style="524" customWidth="1"/>
    <col min="2057" max="2057" width="9.28515625" style="524" customWidth="1"/>
    <col min="2058" max="2058" width="7.7109375" style="524" customWidth="1"/>
    <col min="2059" max="2059" width="6.140625" style="524" customWidth="1"/>
    <col min="2060" max="2060" width="10" style="524" customWidth="1"/>
    <col min="2061" max="2061" width="8.85546875" style="524" customWidth="1"/>
    <col min="2062" max="2062" width="7.42578125" style="524" customWidth="1"/>
    <col min="2063" max="2063" width="7.85546875" style="524" customWidth="1"/>
    <col min="2064" max="2064" width="13.28515625" style="524" customWidth="1"/>
    <col min="2065" max="2065" width="10" style="524" customWidth="1"/>
    <col min="2066" max="2066" width="17.42578125" style="524" customWidth="1"/>
    <col min="2067" max="2068" width="6.5703125" style="524" customWidth="1"/>
    <col min="2069" max="2069" width="18.42578125" style="524" customWidth="1"/>
    <col min="2070" max="2070" width="9.140625" style="524"/>
    <col min="2071" max="2078" width="0" style="524" hidden="1" customWidth="1"/>
    <col min="2079" max="2304" width="9.140625" style="524"/>
    <col min="2305" max="2305" width="3.5703125" style="524" customWidth="1"/>
    <col min="2306" max="2306" width="3.7109375" style="524" customWidth="1"/>
    <col min="2307" max="2307" width="4.28515625" style="524" customWidth="1"/>
    <col min="2308" max="2308" width="17.85546875" style="524" customWidth="1"/>
    <col min="2309" max="2309" width="9.5703125" style="524" customWidth="1"/>
    <col min="2310" max="2310" width="5.42578125" style="524" customWidth="1"/>
    <col min="2311" max="2311" width="10.5703125" style="524" customWidth="1"/>
    <col min="2312" max="2312" width="9.42578125" style="524" customWidth="1"/>
    <col min="2313" max="2313" width="9.28515625" style="524" customWidth="1"/>
    <col min="2314" max="2314" width="7.7109375" style="524" customWidth="1"/>
    <col min="2315" max="2315" width="6.140625" style="524" customWidth="1"/>
    <col min="2316" max="2316" width="10" style="524" customWidth="1"/>
    <col min="2317" max="2317" width="8.85546875" style="524" customWidth="1"/>
    <col min="2318" max="2318" width="7.42578125" style="524" customWidth="1"/>
    <col min="2319" max="2319" width="7.85546875" style="524" customWidth="1"/>
    <col min="2320" max="2320" width="13.28515625" style="524" customWidth="1"/>
    <col min="2321" max="2321" width="10" style="524" customWidth="1"/>
    <col min="2322" max="2322" width="17.42578125" style="524" customWidth="1"/>
    <col min="2323" max="2324" width="6.5703125" style="524" customWidth="1"/>
    <col min="2325" max="2325" width="18.42578125" style="524" customWidth="1"/>
    <col min="2326" max="2326" width="9.140625" style="524"/>
    <col min="2327" max="2334" width="0" style="524" hidden="1" customWidth="1"/>
    <col min="2335" max="2560" width="9.140625" style="524"/>
    <col min="2561" max="2561" width="3.5703125" style="524" customWidth="1"/>
    <col min="2562" max="2562" width="3.7109375" style="524" customWidth="1"/>
    <col min="2563" max="2563" width="4.28515625" style="524" customWidth="1"/>
    <col min="2564" max="2564" width="17.85546875" style="524" customWidth="1"/>
    <col min="2565" max="2565" width="9.5703125" style="524" customWidth="1"/>
    <col min="2566" max="2566" width="5.42578125" style="524" customWidth="1"/>
    <col min="2567" max="2567" width="10.5703125" style="524" customWidth="1"/>
    <col min="2568" max="2568" width="9.42578125" style="524" customWidth="1"/>
    <col min="2569" max="2569" width="9.28515625" style="524" customWidth="1"/>
    <col min="2570" max="2570" width="7.7109375" style="524" customWidth="1"/>
    <col min="2571" max="2571" width="6.140625" style="524" customWidth="1"/>
    <col min="2572" max="2572" width="10" style="524" customWidth="1"/>
    <col min="2573" max="2573" width="8.85546875" style="524" customWidth="1"/>
    <col min="2574" max="2574" width="7.42578125" style="524" customWidth="1"/>
    <col min="2575" max="2575" width="7.85546875" style="524" customWidth="1"/>
    <col min="2576" max="2576" width="13.28515625" style="524" customWidth="1"/>
    <col min="2577" max="2577" width="10" style="524" customWidth="1"/>
    <col min="2578" max="2578" width="17.42578125" style="524" customWidth="1"/>
    <col min="2579" max="2580" width="6.5703125" style="524" customWidth="1"/>
    <col min="2581" max="2581" width="18.42578125" style="524" customWidth="1"/>
    <col min="2582" max="2582" width="9.140625" style="524"/>
    <col min="2583" max="2590" width="0" style="524" hidden="1" customWidth="1"/>
    <col min="2591" max="2816" width="9.140625" style="524"/>
    <col min="2817" max="2817" width="3.5703125" style="524" customWidth="1"/>
    <col min="2818" max="2818" width="3.7109375" style="524" customWidth="1"/>
    <col min="2819" max="2819" width="4.28515625" style="524" customWidth="1"/>
    <col min="2820" max="2820" width="17.85546875" style="524" customWidth="1"/>
    <col min="2821" max="2821" width="9.5703125" style="524" customWidth="1"/>
    <col min="2822" max="2822" width="5.42578125" style="524" customWidth="1"/>
    <col min="2823" max="2823" width="10.5703125" style="524" customWidth="1"/>
    <col min="2824" max="2824" width="9.42578125" style="524" customWidth="1"/>
    <col min="2825" max="2825" width="9.28515625" style="524" customWidth="1"/>
    <col min="2826" max="2826" width="7.7109375" style="524" customWidth="1"/>
    <col min="2827" max="2827" width="6.140625" style="524" customWidth="1"/>
    <col min="2828" max="2828" width="10" style="524" customWidth="1"/>
    <col min="2829" max="2829" width="8.85546875" style="524" customWidth="1"/>
    <col min="2830" max="2830" width="7.42578125" style="524" customWidth="1"/>
    <col min="2831" max="2831" width="7.85546875" style="524" customWidth="1"/>
    <col min="2832" max="2832" width="13.28515625" style="524" customWidth="1"/>
    <col min="2833" max="2833" width="10" style="524" customWidth="1"/>
    <col min="2834" max="2834" width="17.42578125" style="524" customWidth="1"/>
    <col min="2835" max="2836" width="6.5703125" style="524" customWidth="1"/>
    <col min="2837" max="2837" width="18.42578125" style="524" customWidth="1"/>
    <col min="2838" max="2838" width="9.140625" style="524"/>
    <col min="2839" max="2846" width="0" style="524" hidden="1" customWidth="1"/>
    <col min="2847" max="3072" width="9.140625" style="524"/>
    <col min="3073" max="3073" width="3.5703125" style="524" customWidth="1"/>
    <col min="3074" max="3074" width="3.7109375" style="524" customWidth="1"/>
    <col min="3075" max="3075" width="4.28515625" style="524" customWidth="1"/>
    <col min="3076" max="3076" width="17.85546875" style="524" customWidth="1"/>
    <col min="3077" max="3077" width="9.5703125" style="524" customWidth="1"/>
    <col min="3078" max="3078" width="5.42578125" style="524" customWidth="1"/>
    <col min="3079" max="3079" width="10.5703125" style="524" customWidth="1"/>
    <col min="3080" max="3080" width="9.42578125" style="524" customWidth="1"/>
    <col min="3081" max="3081" width="9.28515625" style="524" customWidth="1"/>
    <col min="3082" max="3082" width="7.7109375" style="524" customWidth="1"/>
    <col min="3083" max="3083" width="6.140625" style="524" customWidth="1"/>
    <col min="3084" max="3084" width="10" style="524" customWidth="1"/>
    <col min="3085" max="3085" width="8.85546875" style="524" customWidth="1"/>
    <col min="3086" max="3086" width="7.42578125" style="524" customWidth="1"/>
    <col min="3087" max="3087" width="7.85546875" style="524" customWidth="1"/>
    <col min="3088" max="3088" width="13.28515625" style="524" customWidth="1"/>
    <col min="3089" max="3089" width="10" style="524" customWidth="1"/>
    <col min="3090" max="3090" width="17.42578125" style="524" customWidth="1"/>
    <col min="3091" max="3092" width="6.5703125" style="524" customWidth="1"/>
    <col min="3093" max="3093" width="18.42578125" style="524" customWidth="1"/>
    <col min="3094" max="3094" width="9.140625" style="524"/>
    <col min="3095" max="3102" width="0" style="524" hidden="1" customWidth="1"/>
    <col min="3103" max="3328" width="9.140625" style="524"/>
    <col min="3329" max="3329" width="3.5703125" style="524" customWidth="1"/>
    <col min="3330" max="3330" width="3.7109375" style="524" customWidth="1"/>
    <col min="3331" max="3331" width="4.28515625" style="524" customWidth="1"/>
    <col min="3332" max="3332" width="17.85546875" style="524" customWidth="1"/>
    <col min="3333" max="3333" width="9.5703125" style="524" customWidth="1"/>
    <col min="3334" max="3334" width="5.42578125" style="524" customWidth="1"/>
    <col min="3335" max="3335" width="10.5703125" style="524" customWidth="1"/>
    <col min="3336" max="3336" width="9.42578125" style="524" customWidth="1"/>
    <col min="3337" max="3337" width="9.28515625" style="524" customWidth="1"/>
    <col min="3338" max="3338" width="7.7109375" style="524" customWidth="1"/>
    <col min="3339" max="3339" width="6.140625" style="524" customWidth="1"/>
    <col min="3340" max="3340" width="10" style="524" customWidth="1"/>
    <col min="3341" max="3341" width="8.85546875" style="524" customWidth="1"/>
    <col min="3342" max="3342" width="7.42578125" style="524" customWidth="1"/>
    <col min="3343" max="3343" width="7.85546875" style="524" customWidth="1"/>
    <col min="3344" max="3344" width="13.28515625" style="524" customWidth="1"/>
    <col min="3345" max="3345" width="10" style="524" customWidth="1"/>
    <col min="3346" max="3346" width="17.42578125" style="524" customWidth="1"/>
    <col min="3347" max="3348" width="6.5703125" style="524" customWidth="1"/>
    <col min="3349" max="3349" width="18.42578125" style="524" customWidth="1"/>
    <col min="3350" max="3350" width="9.140625" style="524"/>
    <col min="3351" max="3358" width="0" style="524" hidden="1" customWidth="1"/>
    <col min="3359" max="3584" width="9.140625" style="524"/>
    <col min="3585" max="3585" width="3.5703125" style="524" customWidth="1"/>
    <col min="3586" max="3586" width="3.7109375" style="524" customWidth="1"/>
    <col min="3587" max="3587" width="4.28515625" style="524" customWidth="1"/>
    <col min="3588" max="3588" width="17.85546875" style="524" customWidth="1"/>
    <col min="3589" max="3589" width="9.5703125" style="524" customWidth="1"/>
    <col min="3590" max="3590" width="5.42578125" style="524" customWidth="1"/>
    <col min="3591" max="3591" width="10.5703125" style="524" customWidth="1"/>
    <col min="3592" max="3592" width="9.42578125" style="524" customWidth="1"/>
    <col min="3593" max="3593" width="9.28515625" style="524" customWidth="1"/>
    <col min="3594" max="3594" width="7.7109375" style="524" customWidth="1"/>
    <col min="3595" max="3595" width="6.140625" style="524" customWidth="1"/>
    <col min="3596" max="3596" width="10" style="524" customWidth="1"/>
    <col min="3597" max="3597" width="8.85546875" style="524" customWidth="1"/>
    <col min="3598" max="3598" width="7.42578125" style="524" customWidth="1"/>
    <col min="3599" max="3599" width="7.85546875" style="524" customWidth="1"/>
    <col min="3600" max="3600" width="13.28515625" style="524" customWidth="1"/>
    <col min="3601" max="3601" width="10" style="524" customWidth="1"/>
    <col min="3602" max="3602" width="17.42578125" style="524" customWidth="1"/>
    <col min="3603" max="3604" width="6.5703125" style="524" customWidth="1"/>
    <col min="3605" max="3605" width="18.42578125" style="524" customWidth="1"/>
    <col min="3606" max="3606" width="9.140625" style="524"/>
    <col min="3607" max="3614" width="0" style="524" hidden="1" customWidth="1"/>
    <col min="3615" max="3840" width="9.140625" style="524"/>
    <col min="3841" max="3841" width="3.5703125" style="524" customWidth="1"/>
    <col min="3842" max="3842" width="3.7109375" style="524" customWidth="1"/>
    <col min="3843" max="3843" width="4.28515625" style="524" customWidth="1"/>
    <col min="3844" max="3844" width="17.85546875" style="524" customWidth="1"/>
    <col min="3845" max="3845" width="9.5703125" style="524" customWidth="1"/>
    <col min="3846" max="3846" width="5.42578125" style="524" customWidth="1"/>
    <col min="3847" max="3847" width="10.5703125" style="524" customWidth="1"/>
    <col min="3848" max="3848" width="9.42578125" style="524" customWidth="1"/>
    <col min="3849" max="3849" width="9.28515625" style="524" customWidth="1"/>
    <col min="3850" max="3850" width="7.7109375" style="524" customWidth="1"/>
    <col min="3851" max="3851" width="6.140625" style="524" customWidth="1"/>
    <col min="3852" max="3852" width="10" style="524" customWidth="1"/>
    <col min="3853" max="3853" width="8.85546875" style="524" customWidth="1"/>
    <col min="3854" max="3854" width="7.42578125" style="524" customWidth="1"/>
    <col min="3855" max="3855" width="7.85546875" style="524" customWidth="1"/>
    <col min="3856" max="3856" width="13.28515625" style="524" customWidth="1"/>
    <col min="3857" max="3857" width="10" style="524" customWidth="1"/>
    <col min="3858" max="3858" width="17.42578125" style="524" customWidth="1"/>
    <col min="3859" max="3860" width="6.5703125" style="524" customWidth="1"/>
    <col min="3861" max="3861" width="18.42578125" style="524" customWidth="1"/>
    <col min="3862" max="3862" width="9.140625" style="524"/>
    <col min="3863" max="3870" width="0" style="524" hidden="1" customWidth="1"/>
    <col min="3871" max="4096" width="9.140625" style="524"/>
    <col min="4097" max="4097" width="3.5703125" style="524" customWidth="1"/>
    <col min="4098" max="4098" width="3.7109375" style="524" customWidth="1"/>
    <col min="4099" max="4099" width="4.28515625" style="524" customWidth="1"/>
    <col min="4100" max="4100" width="17.85546875" style="524" customWidth="1"/>
    <col min="4101" max="4101" width="9.5703125" style="524" customWidth="1"/>
    <col min="4102" max="4102" width="5.42578125" style="524" customWidth="1"/>
    <col min="4103" max="4103" width="10.5703125" style="524" customWidth="1"/>
    <col min="4104" max="4104" width="9.42578125" style="524" customWidth="1"/>
    <col min="4105" max="4105" width="9.28515625" style="524" customWidth="1"/>
    <col min="4106" max="4106" width="7.7109375" style="524" customWidth="1"/>
    <col min="4107" max="4107" width="6.140625" style="524" customWidth="1"/>
    <col min="4108" max="4108" width="10" style="524" customWidth="1"/>
    <col min="4109" max="4109" width="8.85546875" style="524" customWidth="1"/>
    <col min="4110" max="4110" width="7.42578125" style="524" customWidth="1"/>
    <col min="4111" max="4111" width="7.85546875" style="524" customWidth="1"/>
    <col min="4112" max="4112" width="13.28515625" style="524" customWidth="1"/>
    <col min="4113" max="4113" width="10" style="524" customWidth="1"/>
    <col min="4114" max="4114" width="17.42578125" style="524" customWidth="1"/>
    <col min="4115" max="4116" width="6.5703125" style="524" customWidth="1"/>
    <col min="4117" max="4117" width="18.42578125" style="524" customWidth="1"/>
    <col min="4118" max="4118" width="9.140625" style="524"/>
    <col min="4119" max="4126" width="0" style="524" hidden="1" customWidth="1"/>
    <col min="4127" max="4352" width="9.140625" style="524"/>
    <col min="4353" max="4353" width="3.5703125" style="524" customWidth="1"/>
    <col min="4354" max="4354" width="3.7109375" style="524" customWidth="1"/>
    <col min="4355" max="4355" width="4.28515625" style="524" customWidth="1"/>
    <col min="4356" max="4356" width="17.85546875" style="524" customWidth="1"/>
    <col min="4357" max="4357" width="9.5703125" style="524" customWidth="1"/>
    <col min="4358" max="4358" width="5.42578125" style="524" customWidth="1"/>
    <col min="4359" max="4359" width="10.5703125" style="524" customWidth="1"/>
    <col min="4360" max="4360" width="9.42578125" style="524" customWidth="1"/>
    <col min="4361" max="4361" width="9.28515625" style="524" customWidth="1"/>
    <col min="4362" max="4362" width="7.7109375" style="524" customWidth="1"/>
    <col min="4363" max="4363" width="6.140625" style="524" customWidth="1"/>
    <col min="4364" max="4364" width="10" style="524" customWidth="1"/>
    <col min="4365" max="4365" width="8.85546875" style="524" customWidth="1"/>
    <col min="4366" max="4366" width="7.42578125" style="524" customWidth="1"/>
    <col min="4367" max="4367" width="7.85546875" style="524" customWidth="1"/>
    <col min="4368" max="4368" width="13.28515625" style="524" customWidth="1"/>
    <col min="4369" max="4369" width="10" style="524" customWidth="1"/>
    <col min="4370" max="4370" width="17.42578125" style="524" customWidth="1"/>
    <col min="4371" max="4372" width="6.5703125" style="524" customWidth="1"/>
    <col min="4373" max="4373" width="18.42578125" style="524" customWidth="1"/>
    <col min="4374" max="4374" width="9.140625" style="524"/>
    <col min="4375" max="4382" width="0" style="524" hidden="1" customWidth="1"/>
    <col min="4383" max="4608" width="9.140625" style="524"/>
    <col min="4609" max="4609" width="3.5703125" style="524" customWidth="1"/>
    <col min="4610" max="4610" width="3.7109375" style="524" customWidth="1"/>
    <col min="4611" max="4611" width="4.28515625" style="524" customWidth="1"/>
    <col min="4612" max="4612" width="17.85546875" style="524" customWidth="1"/>
    <col min="4613" max="4613" width="9.5703125" style="524" customWidth="1"/>
    <col min="4614" max="4614" width="5.42578125" style="524" customWidth="1"/>
    <col min="4615" max="4615" width="10.5703125" style="524" customWidth="1"/>
    <col min="4616" max="4616" width="9.42578125" style="524" customWidth="1"/>
    <col min="4617" max="4617" width="9.28515625" style="524" customWidth="1"/>
    <col min="4618" max="4618" width="7.7109375" style="524" customWidth="1"/>
    <col min="4619" max="4619" width="6.140625" style="524" customWidth="1"/>
    <col min="4620" max="4620" width="10" style="524" customWidth="1"/>
    <col min="4621" max="4621" width="8.85546875" style="524" customWidth="1"/>
    <col min="4622" max="4622" width="7.42578125" style="524" customWidth="1"/>
    <col min="4623" max="4623" width="7.85546875" style="524" customWidth="1"/>
    <col min="4624" max="4624" width="13.28515625" style="524" customWidth="1"/>
    <col min="4625" max="4625" width="10" style="524" customWidth="1"/>
    <col min="4626" max="4626" width="17.42578125" style="524" customWidth="1"/>
    <col min="4627" max="4628" width="6.5703125" style="524" customWidth="1"/>
    <col min="4629" max="4629" width="18.42578125" style="524" customWidth="1"/>
    <col min="4630" max="4630" width="9.140625" style="524"/>
    <col min="4631" max="4638" width="0" style="524" hidden="1" customWidth="1"/>
    <col min="4639" max="4864" width="9.140625" style="524"/>
    <col min="4865" max="4865" width="3.5703125" style="524" customWidth="1"/>
    <col min="4866" max="4866" width="3.7109375" style="524" customWidth="1"/>
    <col min="4867" max="4867" width="4.28515625" style="524" customWidth="1"/>
    <col min="4868" max="4868" width="17.85546875" style="524" customWidth="1"/>
    <col min="4869" max="4869" width="9.5703125" style="524" customWidth="1"/>
    <col min="4870" max="4870" width="5.42578125" style="524" customWidth="1"/>
    <col min="4871" max="4871" width="10.5703125" style="524" customWidth="1"/>
    <col min="4872" max="4872" width="9.42578125" style="524" customWidth="1"/>
    <col min="4873" max="4873" width="9.28515625" style="524" customWidth="1"/>
    <col min="4874" max="4874" width="7.7109375" style="524" customWidth="1"/>
    <col min="4875" max="4875" width="6.140625" style="524" customWidth="1"/>
    <col min="4876" max="4876" width="10" style="524" customWidth="1"/>
    <col min="4877" max="4877" width="8.85546875" style="524" customWidth="1"/>
    <col min="4878" max="4878" width="7.42578125" style="524" customWidth="1"/>
    <col min="4879" max="4879" width="7.85546875" style="524" customWidth="1"/>
    <col min="4880" max="4880" width="13.28515625" style="524" customWidth="1"/>
    <col min="4881" max="4881" width="10" style="524" customWidth="1"/>
    <col min="4882" max="4882" width="17.42578125" style="524" customWidth="1"/>
    <col min="4883" max="4884" width="6.5703125" style="524" customWidth="1"/>
    <col min="4885" max="4885" width="18.42578125" style="524" customWidth="1"/>
    <col min="4886" max="4886" width="9.140625" style="524"/>
    <col min="4887" max="4894" width="0" style="524" hidden="1" customWidth="1"/>
    <col min="4895" max="5120" width="9.140625" style="524"/>
    <col min="5121" max="5121" width="3.5703125" style="524" customWidth="1"/>
    <col min="5122" max="5122" width="3.7109375" style="524" customWidth="1"/>
    <col min="5123" max="5123" width="4.28515625" style="524" customWidth="1"/>
    <col min="5124" max="5124" width="17.85546875" style="524" customWidth="1"/>
    <col min="5125" max="5125" width="9.5703125" style="524" customWidth="1"/>
    <col min="5126" max="5126" width="5.42578125" style="524" customWidth="1"/>
    <col min="5127" max="5127" width="10.5703125" style="524" customWidth="1"/>
    <col min="5128" max="5128" width="9.42578125" style="524" customWidth="1"/>
    <col min="5129" max="5129" width="9.28515625" style="524" customWidth="1"/>
    <col min="5130" max="5130" width="7.7109375" style="524" customWidth="1"/>
    <col min="5131" max="5131" width="6.140625" style="524" customWidth="1"/>
    <col min="5132" max="5132" width="10" style="524" customWidth="1"/>
    <col min="5133" max="5133" width="8.85546875" style="524" customWidth="1"/>
    <col min="5134" max="5134" width="7.42578125" style="524" customWidth="1"/>
    <col min="5135" max="5135" width="7.85546875" style="524" customWidth="1"/>
    <col min="5136" max="5136" width="13.28515625" style="524" customWidth="1"/>
    <col min="5137" max="5137" width="10" style="524" customWidth="1"/>
    <col min="5138" max="5138" width="17.42578125" style="524" customWidth="1"/>
    <col min="5139" max="5140" width="6.5703125" style="524" customWidth="1"/>
    <col min="5141" max="5141" width="18.42578125" style="524" customWidth="1"/>
    <col min="5142" max="5142" width="9.140625" style="524"/>
    <col min="5143" max="5150" width="0" style="524" hidden="1" customWidth="1"/>
    <col min="5151" max="5376" width="9.140625" style="524"/>
    <col min="5377" max="5377" width="3.5703125" style="524" customWidth="1"/>
    <col min="5378" max="5378" width="3.7109375" style="524" customWidth="1"/>
    <col min="5379" max="5379" width="4.28515625" style="524" customWidth="1"/>
    <col min="5380" max="5380" width="17.85546875" style="524" customWidth="1"/>
    <col min="5381" max="5381" width="9.5703125" style="524" customWidth="1"/>
    <col min="5382" max="5382" width="5.42578125" style="524" customWidth="1"/>
    <col min="5383" max="5383" width="10.5703125" style="524" customWidth="1"/>
    <col min="5384" max="5384" width="9.42578125" style="524" customWidth="1"/>
    <col min="5385" max="5385" width="9.28515625" style="524" customWidth="1"/>
    <col min="5386" max="5386" width="7.7109375" style="524" customWidth="1"/>
    <col min="5387" max="5387" width="6.140625" style="524" customWidth="1"/>
    <col min="5388" max="5388" width="10" style="524" customWidth="1"/>
    <col min="5389" max="5389" width="8.85546875" style="524" customWidth="1"/>
    <col min="5390" max="5390" width="7.42578125" style="524" customWidth="1"/>
    <col min="5391" max="5391" width="7.85546875" style="524" customWidth="1"/>
    <col min="5392" max="5392" width="13.28515625" style="524" customWidth="1"/>
    <col min="5393" max="5393" width="10" style="524" customWidth="1"/>
    <col min="5394" max="5394" width="17.42578125" style="524" customWidth="1"/>
    <col min="5395" max="5396" width="6.5703125" style="524" customWidth="1"/>
    <col min="5397" max="5397" width="18.42578125" style="524" customWidth="1"/>
    <col min="5398" max="5398" width="9.140625" style="524"/>
    <col min="5399" max="5406" width="0" style="524" hidden="1" customWidth="1"/>
    <col min="5407" max="5632" width="9.140625" style="524"/>
    <col min="5633" max="5633" width="3.5703125" style="524" customWidth="1"/>
    <col min="5634" max="5634" width="3.7109375" style="524" customWidth="1"/>
    <col min="5635" max="5635" width="4.28515625" style="524" customWidth="1"/>
    <col min="5636" max="5636" width="17.85546875" style="524" customWidth="1"/>
    <col min="5637" max="5637" width="9.5703125" style="524" customWidth="1"/>
    <col min="5638" max="5638" width="5.42578125" style="524" customWidth="1"/>
    <col min="5639" max="5639" width="10.5703125" style="524" customWidth="1"/>
    <col min="5640" max="5640" width="9.42578125" style="524" customWidth="1"/>
    <col min="5641" max="5641" width="9.28515625" style="524" customWidth="1"/>
    <col min="5642" max="5642" width="7.7109375" style="524" customWidth="1"/>
    <col min="5643" max="5643" width="6.140625" style="524" customWidth="1"/>
    <col min="5644" max="5644" width="10" style="524" customWidth="1"/>
    <col min="5645" max="5645" width="8.85546875" style="524" customWidth="1"/>
    <col min="5646" max="5646" width="7.42578125" style="524" customWidth="1"/>
    <col min="5647" max="5647" width="7.85546875" style="524" customWidth="1"/>
    <col min="5648" max="5648" width="13.28515625" style="524" customWidth="1"/>
    <col min="5649" max="5649" width="10" style="524" customWidth="1"/>
    <col min="5650" max="5650" width="17.42578125" style="524" customWidth="1"/>
    <col min="5651" max="5652" width="6.5703125" style="524" customWidth="1"/>
    <col min="5653" max="5653" width="18.42578125" style="524" customWidth="1"/>
    <col min="5654" max="5654" width="9.140625" style="524"/>
    <col min="5655" max="5662" width="0" style="524" hidden="1" customWidth="1"/>
    <col min="5663" max="5888" width="9.140625" style="524"/>
    <col min="5889" max="5889" width="3.5703125" style="524" customWidth="1"/>
    <col min="5890" max="5890" width="3.7109375" style="524" customWidth="1"/>
    <col min="5891" max="5891" width="4.28515625" style="524" customWidth="1"/>
    <col min="5892" max="5892" width="17.85546875" style="524" customWidth="1"/>
    <col min="5893" max="5893" width="9.5703125" style="524" customWidth="1"/>
    <col min="5894" max="5894" width="5.42578125" style="524" customWidth="1"/>
    <col min="5895" max="5895" width="10.5703125" style="524" customWidth="1"/>
    <col min="5896" max="5896" width="9.42578125" style="524" customWidth="1"/>
    <col min="5897" max="5897" width="9.28515625" style="524" customWidth="1"/>
    <col min="5898" max="5898" width="7.7109375" style="524" customWidth="1"/>
    <col min="5899" max="5899" width="6.140625" style="524" customWidth="1"/>
    <col min="5900" max="5900" width="10" style="524" customWidth="1"/>
    <col min="5901" max="5901" width="8.85546875" style="524" customWidth="1"/>
    <col min="5902" max="5902" width="7.42578125" style="524" customWidth="1"/>
    <col min="5903" max="5903" width="7.85546875" style="524" customWidth="1"/>
    <col min="5904" max="5904" width="13.28515625" style="524" customWidth="1"/>
    <col min="5905" max="5905" width="10" style="524" customWidth="1"/>
    <col min="5906" max="5906" width="17.42578125" style="524" customWidth="1"/>
    <col min="5907" max="5908" width="6.5703125" style="524" customWidth="1"/>
    <col min="5909" max="5909" width="18.42578125" style="524" customWidth="1"/>
    <col min="5910" max="5910" width="9.140625" style="524"/>
    <col min="5911" max="5918" width="0" style="524" hidden="1" customWidth="1"/>
    <col min="5919" max="6144" width="9.140625" style="524"/>
    <col min="6145" max="6145" width="3.5703125" style="524" customWidth="1"/>
    <col min="6146" max="6146" width="3.7109375" style="524" customWidth="1"/>
    <col min="6147" max="6147" width="4.28515625" style="524" customWidth="1"/>
    <col min="6148" max="6148" width="17.85546875" style="524" customWidth="1"/>
    <col min="6149" max="6149" width="9.5703125" style="524" customWidth="1"/>
    <col min="6150" max="6150" width="5.42578125" style="524" customWidth="1"/>
    <col min="6151" max="6151" width="10.5703125" style="524" customWidth="1"/>
    <col min="6152" max="6152" width="9.42578125" style="524" customWidth="1"/>
    <col min="6153" max="6153" width="9.28515625" style="524" customWidth="1"/>
    <col min="6154" max="6154" width="7.7109375" style="524" customWidth="1"/>
    <col min="6155" max="6155" width="6.140625" style="524" customWidth="1"/>
    <col min="6156" max="6156" width="10" style="524" customWidth="1"/>
    <col min="6157" max="6157" width="8.85546875" style="524" customWidth="1"/>
    <col min="6158" max="6158" width="7.42578125" style="524" customWidth="1"/>
    <col min="6159" max="6159" width="7.85546875" style="524" customWidth="1"/>
    <col min="6160" max="6160" width="13.28515625" style="524" customWidth="1"/>
    <col min="6161" max="6161" width="10" style="524" customWidth="1"/>
    <col min="6162" max="6162" width="17.42578125" style="524" customWidth="1"/>
    <col min="6163" max="6164" width="6.5703125" style="524" customWidth="1"/>
    <col min="6165" max="6165" width="18.42578125" style="524" customWidth="1"/>
    <col min="6166" max="6166" width="9.140625" style="524"/>
    <col min="6167" max="6174" width="0" style="524" hidden="1" customWidth="1"/>
    <col min="6175" max="6400" width="9.140625" style="524"/>
    <col min="6401" max="6401" width="3.5703125" style="524" customWidth="1"/>
    <col min="6402" max="6402" width="3.7109375" style="524" customWidth="1"/>
    <col min="6403" max="6403" width="4.28515625" style="524" customWidth="1"/>
    <col min="6404" max="6404" width="17.85546875" style="524" customWidth="1"/>
    <col min="6405" max="6405" width="9.5703125" style="524" customWidth="1"/>
    <col min="6406" max="6406" width="5.42578125" style="524" customWidth="1"/>
    <col min="6407" max="6407" width="10.5703125" style="524" customWidth="1"/>
    <col min="6408" max="6408" width="9.42578125" style="524" customWidth="1"/>
    <col min="6409" max="6409" width="9.28515625" style="524" customWidth="1"/>
    <col min="6410" max="6410" width="7.7109375" style="524" customWidth="1"/>
    <col min="6411" max="6411" width="6.140625" style="524" customWidth="1"/>
    <col min="6412" max="6412" width="10" style="524" customWidth="1"/>
    <col min="6413" max="6413" width="8.85546875" style="524" customWidth="1"/>
    <col min="6414" max="6414" width="7.42578125" style="524" customWidth="1"/>
    <col min="6415" max="6415" width="7.85546875" style="524" customWidth="1"/>
    <col min="6416" max="6416" width="13.28515625" style="524" customWidth="1"/>
    <col min="6417" max="6417" width="10" style="524" customWidth="1"/>
    <col min="6418" max="6418" width="17.42578125" style="524" customWidth="1"/>
    <col min="6419" max="6420" width="6.5703125" style="524" customWidth="1"/>
    <col min="6421" max="6421" width="18.42578125" style="524" customWidth="1"/>
    <col min="6422" max="6422" width="9.140625" style="524"/>
    <col min="6423" max="6430" width="0" style="524" hidden="1" customWidth="1"/>
    <col min="6431" max="6656" width="9.140625" style="524"/>
    <col min="6657" max="6657" width="3.5703125" style="524" customWidth="1"/>
    <col min="6658" max="6658" width="3.7109375" style="524" customWidth="1"/>
    <col min="6659" max="6659" width="4.28515625" style="524" customWidth="1"/>
    <col min="6660" max="6660" width="17.85546875" style="524" customWidth="1"/>
    <col min="6661" max="6661" width="9.5703125" style="524" customWidth="1"/>
    <col min="6662" max="6662" width="5.42578125" style="524" customWidth="1"/>
    <col min="6663" max="6663" width="10.5703125" style="524" customWidth="1"/>
    <col min="6664" max="6664" width="9.42578125" style="524" customWidth="1"/>
    <col min="6665" max="6665" width="9.28515625" style="524" customWidth="1"/>
    <col min="6666" max="6666" width="7.7109375" style="524" customWidth="1"/>
    <col min="6667" max="6667" width="6.140625" style="524" customWidth="1"/>
    <col min="6668" max="6668" width="10" style="524" customWidth="1"/>
    <col min="6669" max="6669" width="8.85546875" style="524" customWidth="1"/>
    <col min="6670" max="6670" width="7.42578125" style="524" customWidth="1"/>
    <col min="6671" max="6671" width="7.85546875" style="524" customWidth="1"/>
    <col min="6672" max="6672" width="13.28515625" style="524" customWidth="1"/>
    <col min="6673" max="6673" width="10" style="524" customWidth="1"/>
    <col min="6674" max="6674" width="17.42578125" style="524" customWidth="1"/>
    <col min="6675" max="6676" width="6.5703125" style="524" customWidth="1"/>
    <col min="6677" max="6677" width="18.42578125" style="524" customWidth="1"/>
    <col min="6678" max="6678" width="9.140625" style="524"/>
    <col min="6679" max="6686" width="0" style="524" hidden="1" customWidth="1"/>
    <col min="6687" max="6912" width="9.140625" style="524"/>
    <col min="6913" max="6913" width="3.5703125" style="524" customWidth="1"/>
    <col min="6914" max="6914" width="3.7109375" style="524" customWidth="1"/>
    <col min="6915" max="6915" width="4.28515625" style="524" customWidth="1"/>
    <col min="6916" max="6916" width="17.85546875" style="524" customWidth="1"/>
    <col min="6917" max="6917" width="9.5703125" style="524" customWidth="1"/>
    <col min="6918" max="6918" width="5.42578125" style="524" customWidth="1"/>
    <col min="6919" max="6919" width="10.5703125" style="524" customWidth="1"/>
    <col min="6920" max="6920" width="9.42578125" style="524" customWidth="1"/>
    <col min="6921" max="6921" width="9.28515625" style="524" customWidth="1"/>
    <col min="6922" max="6922" width="7.7109375" style="524" customWidth="1"/>
    <col min="6923" max="6923" width="6.140625" style="524" customWidth="1"/>
    <col min="6924" max="6924" width="10" style="524" customWidth="1"/>
    <col min="6925" max="6925" width="8.85546875" style="524" customWidth="1"/>
    <col min="6926" max="6926" width="7.42578125" style="524" customWidth="1"/>
    <col min="6927" max="6927" width="7.85546875" style="524" customWidth="1"/>
    <col min="6928" max="6928" width="13.28515625" style="524" customWidth="1"/>
    <col min="6929" max="6929" width="10" style="524" customWidth="1"/>
    <col min="6930" max="6930" width="17.42578125" style="524" customWidth="1"/>
    <col min="6931" max="6932" width="6.5703125" style="524" customWidth="1"/>
    <col min="6933" max="6933" width="18.42578125" style="524" customWidth="1"/>
    <col min="6934" max="6934" width="9.140625" style="524"/>
    <col min="6935" max="6942" width="0" style="524" hidden="1" customWidth="1"/>
    <col min="6943" max="7168" width="9.140625" style="524"/>
    <col min="7169" max="7169" width="3.5703125" style="524" customWidth="1"/>
    <col min="7170" max="7170" width="3.7109375" style="524" customWidth="1"/>
    <col min="7171" max="7171" width="4.28515625" style="524" customWidth="1"/>
    <col min="7172" max="7172" width="17.85546875" style="524" customWidth="1"/>
    <col min="7173" max="7173" width="9.5703125" style="524" customWidth="1"/>
    <col min="7174" max="7174" width="5.42578125" style="524" customWidth="1"/>
    <col min="7175" max="7175" width="10.5703125" style="524" customWidth="1"/>
    <col min="7176" max="7176" width="9.42578125" style="524" customWidth="1"/>
    <col min="7177" max="7177" width="9.28515625" style="524" customWidth="1"/>
    <col min="7178" max="7178" width="7.7109375" style="524" customWidth="1"/>
    <col min="7179" max="7179" width="6.140625" style="524" customWidth="1"/>
    <col min="7180" max="7180" width="10" style="524" customWidth="1"/>
    <col min="7181" max="7181" width="8.85546875" style="524" customWidth="1"/>
    <col min="7182" max="7182" width="7.42578125" style="524" customWidth="1"/>
    <col min="7183" max="7183" width="7.85546875" style="524" customWidth="1"/>
    <col min="7184" max="7184" width="13.28515625" style="524" customWidth="1"/>
    <col min="7185" max="7185" width="10" style="524" customWidth="1"/>
    <col min="7186" max="7186" width="17.42578125" style="524" customWidth="1"/>
    <col min="7187" max="7188" width="6.5703125" style="524" customWidth="1"/>
    <col min="7189" max="7189" width="18.42578125" style="524" customWidth="1"/>
    <col min="7190" max="7190" width="9.140625" style="524"/>
    <col min="7191" max="7198" width="0" style="524" hidden="1" customWidth="1"/>
    <col min="7199" max="7424" width="9.140625" style="524"/>
    <col min="7425" max="7425" width="3.5703125" style="524" customWidth="1"/>
    <col min="7426" max="7426" width="3.7109375" style="524" customWidth="1"/>
    <col min="7427" max="7427" width="4.28515625" style="524" customWidth="1"/>
    <col min="7428" max="7428" width="17.85546875" style="524" customWidth="1"/>
    <col min="7429" max="7429" width="9.5703125" style="524" customWidth="1"/>
    <col min="7430" max="7430" width="5.42578125" style="524" customWidth="1"/>
    <col min="7431" max="7431" width="10.5703125" style="524" customWidth="1"/>
    <col min="7432" max="7432" width="9.42578125" style="524" customWidth="1"/>
    <col min="7433" max="7433" width="9.28515625" style="524" customWidth="1"/>
    <col min="7434" max="7434" width="7.7109375" style="524" customWidth="1"/>
    <col min="7435" max="7435" width="6.140625" style="524" customWidth="1"/>
    <col min="7436" max="7436" width="10" style="524" customWidth="1"/>
    <col min="7437" max="7437" width="8.85546875" style="524" customWidth="1"/>
    <col min="7438" max="7438" width="7.42578125" style="524" customWidth="1"/>
    <col min="7439" max="7439" width="7.85546875" style="524" customWidth="1"/>
    <col min="7440" max="7440" width="13.28515625" style="524" customWidth="1"/>
    <col min="7441" max="7441" width="10" style="524" customWidth="1"/>
    <col min="7442" max="7442" width="17.42578125" style="524" customWidth="1"/>
    <col min="7443" max="7444" width="6.5703125" style="524" customWidth="1"/>
    <col min="7445" max="7445" width="18.42578125" style="524" customWidth="1"/>
    <col min="7446" max="7446" width="9.140625" style="524"/>
    <col min="7447" max="7454" width="0" style="524" hidden="1" customWidth="1"/>
    <col min="7455" max="7680" width="9.140625" style="524"/>
    <col min="7681" max="7681" width="3.5703125" style="524" customWidth="1"/>
    <col min="7682" max="7682" width="3.7109375" style="524" customWidth="1"/>
    <col min="7683" max="7683" width="4.28515625" style="524" customWidth="1"/>
    <col min="7684" max="7684" width="17.85546875" style="524" customWidth="1"/>
    <col min="7685" max="7685" width="9.5703125" style="524" customWidth="1"/>
    <col min="7686" max="7686" width="5.42578125" style="524" customWidth="1"/>
    <col min="7687" max="7687" width="10.5703125" style="524" customWidth="1"/>
    <col min="7688" max="7688" width="9.42578125" style="524" customWidth="1"/>
    <col min="7689" max="7689" width="9.28515625" style="524" customWidth="1"/>
    <col min="7690" max="7690" width="7.7109375" style="524" customWidth="1"/>
    <col min="7691" max="7691" width="6.140625" style="524" customWidth="1"/>
    <col min="7692" max="7692" width="10" style="524" customWidth="1"/>
    <col min="7693" max="7693" width="8.85546875" style="524" customWidth="1"/>
    <col min="7694" max="7694" width="7.42578125" style="524" customWidth="1"/>
    <col min="7695" max="7695" width="7.85546875" style="524" customWidth="1"/>
    <col min="7696" max="7696" width="13.28515625" style="524" customWidth="1"/>
    <col min="7697" max="7697" width="10" style="524" customWidth="1"/>
    <col min="7698" max="7698" width="17.42578125" style="524" customWidth="1"/>
    <col min="7699" max="7700" width="6.5703125" style="524" customWidth="1"/>
    <col min="7701" max="7701" width="18.42578125" style="524" customWidth="1"/>
    <col min="7702" max="7702" width="9.140625" style="524"/>
    <col min="7703" max="7710" width="0" style="524" hidden="1" customWidth="1"/>
    <col min="7711" max="7936" width="9.140625" style="524"/>
    <col min="7937" max="7937" width="3.5703125" style="524" customWidth="1"/>
    <col min="7938" max="7938" width="3.7109375" style="524" customWidth="1"/>
    <col min="7939" max="7939" width="4.28515625" style="524" customWidth="1"/>
    <col min="7940" max="7940" width="17.85546875" style="524" customWidth="1"/>
    <col min="7941" max="7941" width="9.5703125" style="524" customWidth="1"/>
    <col min="7942" max="7942" width="5.42578125" style="524" customWidth="1"/>
    <col min="7943" max="7943" width="10.5703125" style="524" customWidth="1"/>
    <col min="7944" max="7944" width="9.42578125" style="524" customWidth="1"/>
    <col min="7945" max="7945" width="9.28515625" style="524" customWidth="1"/>
    <col min="7946" max="7946" width="7.7109375" style="524" customWidth="1"/>
    <col min="7947" max="7947" width="6.140625" style="524" customWidth="1"/>
    <col min="7948" max="7948" width="10" style="524" customWidth="1"/>
    <col min="7949" max="7949" width="8.85546875" style="524" customWidth="1"/>
    <col min="7950" max="7950" width="7.42578125" style="524" customWidth="1"/>
    <col min="7951" max="7951" width="7.85546875" style="524" customWidth="1"/>
    <col min="7952" max="7952" width="13.28515625" style="524" customWidth="1"/>
    <col min="7953" max="7953" width="10" style="524" customWidth="1"/>
    <col min="7954" max="7954" width="17.42578125" style="524" customWidth="1"/>
    <col min="7955" max="7956" width="6.5703125" style="524" customWidth="1"/>
    <col min="7957" max="7957" width="18.42578125" style="524" customWidth="1"/>
    <col min="7958" max="7958" width="9.140625" style="524"/>
    <col min="7959" max="7966" width="0" style="524" hidden="1" customWidth="1"/>
    <col min="7967" max="8192" width="9.140625" style="524"/>
    <col min="8193" max="8193" width="3.5703125" style="524" customWidth="1"/>
    <col min="8194" max="8194" width="3.7109375" style="524" customWidth="1"/>
    <col min="8195" max="8195" width="4.28515625" style="524" customWidth="1"/>
    <col min="8196" max="8196" width="17.85546875" style="524" customWidth="1"/>
    <col min="8197" max="8197" width="9.5703125" style="524" customWidth="1"/>
    <col min="8198" max="8198" width="5.42578125" style="524" customWidth="1"/>
    <col min="8199" max="8199" width="10.5703125" style="524" customWidth="1"/>
    <col min="8200" max="8200" width="9.42578125" style="524" customWidth="1"/>
    <col min="8201" max="8201" width="9.28515625" style="524" customWidth="1"/>
    <col min="8202" max="8202" width="7.7109375" style="524" customWidth="1"/>
    <col min="8203" max="8203" width="6.140625" style="524" customWidth="1"/>
    <col min="8204" max="8204" width="10" style="524" customWidth="1"/>
    <col min="8205" max="8205" width="8.85546875" style="524" customWidth="1"/>
    <col min="8206" max="8206" width="7.42578125" style="524" customWidth="1"/>
    <col min="8207" max="8207" width="7.85546875" style="524" customWidth="1"/>
    <col min="8208" max="8208" width="13.28515625" style="524" customWidth="1"/>
    <col min="8209" max="8209" width="10" style="524" customWidth="1"/>
    <col min="8210" max="8210" width="17.42578125" style="524" customWidth="1"/>
    <col min="8211" max="8212" width="6.5703125" style="524" customWidth="1"/>
    <col min="8213" max="8213" width="18.42578125" style="524" customWidth="1"/>
    <col min="8214" max="8214" width="9.140625" style="524"/>
    <col min="8215" max="8222" width="0" style="524" hidden="1" customWidth="1"/>
    <col min="8223" max="8448" width="9.140625" style="524"/>
    <col min="8449" max="8449" width="3.5703125" style="524" customWidth="1"/>
    <col min="8450" max="8450" width="3.7109375" style="524" customWidth="1"/>
    <col min="8451" max="8451" width="4.28515625" style="524" customWidth="1"/>
    <col min="8452" max="8452" width="17.85546875" style="524" customWidth="1"/>
    <col min="8453" max="8453" width="9.5703125" style="524" customWidth="1"/>
    <col min="8454" max="8454" width="5.42578125" style="524" customWidth="1"/>
    <col min="8455" max="8455" width="10.5703125" style="524" customWidth="1"/>
    <col min="8456" max="8456" width="9.42578125" style="524" customWidth="1"/>
    <col min="8457" max="8457" width="9.28515625" style="524" customWidth="1"/>
    <col min="8458" max="8458" width="7.7109375" style="524" customWidth="1"/>
    <col min="8459" max="8459" width="6.140625" style="524" customWidth="1"/>
    <col min="8460" max="8460" width="10" style="524" customWidth="1"/>
    <col min="8461" max="8461" width="8.85546875" style="524" customWidth="1"/>
    <col min="8462" max="8462" width="7.42578125" style="524" customWidth="1"/>
    <col min="8463" max="8463" width="7.85546875" style="524" customWidth="1"/>
    <col min="8464" max="8464" width="13.28515625" style="524" customWidth="1"/>
    <col min="8465" max="8465" width="10" style="524" customWidth="1"/>
    <col min="8466" max="8466" width="17.42578125" style="524" customWidth="1"/>
    <col min="8467" max="8468" width="6.5703125" style="524" customWidth="1"/>
    <col min="8469" max="8469" width="18.42578125" style="524" customWidth="1"/>
    <col min="8470" max="8470" width="9.140625" style="524"/>
    <col min="8471" max="8478" width="0" style="524" hidden="1" customWidth="1"/>
    <col min="8479" max="8704" width="9.140625" style="524"/>
    <col min="8705" max="8705" width="3.5703125" style="524" customWidth="1"/>
    <col min="8706" max="8706" width="3.7109375" style="524" customWidth="1"/>
    <col min="8707" max="8707" width="4.28515625" style="524" customWidth="1"/>
    <col min="8708" max="8708" width="17.85546875" style="524" customWidth="1"/>
    <col min="8709" max="8709" width="9.5703125" style="524" customWidth="1"/>
    <col min="8710" max="8710" width="5.42578125" style="524" customWidth="1"/>
    <col min="8711" max="8711" width="10.5703125" style="524" customWidth="1"/>
    <col min="8712" max="8712" width="9.42578125" style="524" customWidth="1"/>
    <col min="8713" max="8713" width="9.28515625" style="524" customWidth="1"/>
    <col min="8714" max="8714" width="7.7109375" style="524" customWidth="1"/>
    <col min="8715" max="8715" width="6.140625" style="524" customWidth="1"/>
    <col min="8716" max="8716" width="10" style="524" customWidth="1"/>
    <col min="8717" max="8717" width="8.85546875" style="524" customWidth="1"/>
    <col min="8718" max="8718" width="7.42578125" style="524" customWidth="1"/>
    <col min="8719" max="8719" width="7.85546875" style="524" customWidth="1"/>
    <col min="8720" max="8720" width="13.28515625" style="524" customWidth="1"/>
    <col min="8721" max="8721" width="10" style="524" customWidth="1"/>
    <col min="8722" max="8722" width="17.42578125" style="524" customWidth="1"/>
    <col min="8723" max="8724" width="6.5703125" style="524" customWidth="1"/>
    <col min="8725" max="8725" width="18.42578125" style="524" customWidth="1"/>
    <col min="8726" max="8726" width="9.140625" style="524"/>
    <col min="8727" max="8734" width="0" style="524" hidden="1" customWidth="1"/>
    <col min="8735" max="8960" width="9.140625" style="524"/>
    <col min="8961" max="8961" width="3.5703125" style="524" customWidth="1"/>
    <col min="8962" max="8962" width="3.7109375" style="524" customWidth="1"/>
    <col min="8963" max="8963" width="4.28515625" style="524" customWidth="1"/>
    <col min="8964" max="8964" width="17.85546875" style="524" customWidth="1"/>
    <col min="8965" max="8965" width="9.5703125" style="524" customWidth="1"/>
    <col min="8966" max="8966" width="5.42578125" style="524" customWidth="1"/>
    <col min="8967" max="8967" width="10.5703125" style="524" customWidth="1"/>
    <col min="8968" max="8968" width="9.42578125" style="524" customWidth="1"/>
    <col min="8969" max="8969" width="9.28515625" style="524" customWidth="1"/>
    <col min="8970" max="8970" width="7.7109375" style="524" customWidth="1"/>
    <col min="8971" max="8971" width="6.140625" style="524" customWidth="1"/>
    <col min="8972" max="8972" width="10" style="524" customWidth="1"/>
    <col min="8973" max="8973" width="8.85546875" style="524" customWidth="1"/>
    <col min="8974" max="8974" width="7.42578125" style="524" customWidth="1"/>
    <col min="8975" max="8975" width="7.85546875" style="524" customWidth="1"/>
    <col min="8976" max="8976" width="13.28515625" style="524" customWidth="1"/>
    <col min="8977" max="8977" width="10" style="524" customWidth="1"/>
    <col min="8978" max="8978" width="17.42578125" style="524" customWidth="1"/>
    <col min="8979" max="8980" width="6.5703125" style="524" customWidth="1"/>
    <col min="8981" max="8981" width="18.42578125" style="524" customWidth="1"/>
    <col min="8982" max="8982" width="9.140625" style="524"/>
    <col min="8983" max="8990" width="0" style="524" hidden="1" customWidth="1"/>
    <col min="8991" max="9216" width="9.140625" style="524"/>
    <col min="9217" max="9217" width="3.5703125" style="524" customWidth="1"/>
    <col min="9218" max="9218" width="3.7109375" style="524" customWidth="1"/>
    <col min="9219" max="9219" width="4.28515625" style="524" customWidth="1"/>
    <col min="9220" max="9220" width="17.85546875" style="524" customWidth="1"/>
    <col min="9221" max="9221" width="9.5703125" style="524" customWidth="1"/>
    <col min="9222" max="9222" width="5.42578125" style="524" customWidth="1"/>
    <col min="9223" max="9223" width="10.5703125" style="524" customWidth="1"/>
    <col min="9224" max="9224" width="9.42578125" style="524" customWidth="1"/>
    <col min="9225" max="9225" width="9.28515625" style="524" customWidth="1"/>
    <col min="9226" max="9226" width="7.7109375" style="524" customWidth="1"/>
    <col min="9227" max="9227" width="6.140625" style="524" customWidth="1"/>
    <col min="9228" max="9228" width="10" style="524" customWidth="1"/>
    <col min="9229" max="9229" width="8.85546875" style="524" customWidth="1"/>
    <col min="9230" max="9230" width="7.42578125" style="524" customWidth="1"/>
    <col min="9231" max="9231" width="7.85546875" style="524" customWidth="1"/>
    <col min="9232" max="9232" width="13.28515625" style="524" customWidth="1"/>
    <col min="9233" max="9233" width="10" style="524" customWidth="1"/>
    <col min="9234" max="9234" width="17.42578125" style="524" customWidth="1"/>
    <col min="9235" max="9236" width="6.5703125" style="524" customWidth="1"/>
    <col min="9237" max="9237" width="18.42578125" style="524" customWidth="1"/>
    <col min="9238" max="9238" width="9.140625" style="524"/>
    <col min="9239" max="9246" width="0" style="524" hidden="1" customWidth="1"/>
    <col min="9247" max="9472" width="9.140625" style="524"/>
    <col min="9473" max="9473" width="3.5703125" style="524" customWidth="1"/>
    <col min="9474" max="9474" width="3.7109375" style="524" customWidth="1"/>
    <col min="9475" max="9475" width="4.28515625" style="524" customWidth="1"/>
    <col min="9476" max="9476" width="17.85546875" style="524" customWidth="1"/>
    <col min="9477" max="9477" width="9.5703125" style="524" customWidth="1"/>
    <col min="9478" max="9478" width="5.42578125" style="524" customWidth="1"/>
    <col min="9479" max="9479" width="10.5703125" style="524" customWidth="1"/>
    <col min="9480" max="9480" width="9.42578125" style="524" customWidth="1"/>
    <col min="9481" max="9481" width="9.28515625" style="524" customWidth="1"/>
    <col min="9482" max="9482" width="7.7109375" style="524" customWidth="1"/>
    <col min="9483" max="9483" width="6.140625" style="524" customWidth="1"/>
    <col min="9484" max="9484" width="10" style="524" customWidth="1"/>
    <col min="9485" max="9485" width="8.85546875" style="524" customWidth="1"/>
    <col min="9486" max="9486" width="7.42578125" style="524" customWidth="1"/>
    <col min="9487" max="9487" width="7.85546875" style="524" customWidth="1"/>
    <col min="9488" max="9488" width="13.28515625" style="524" customWidth="1"/>
    <col min="9489" max="9489" width="10" style="524" customWidth="1"/>
    <col min="9490" max="9490" width="17.42578125" style="524" customWidth="1"/>
    <col min="9491" max="9492" width="6.5703125" style="524" customWidth="1"/>
    <col min="9493" max="9493" width="18.42578125" style="524" customWidth="1"/>
    <col min="9494" max="9494" width="9.140625" style="524"/>
    <col min="9495" max="9502" width="0" style="524" hidden="1" customWidth="1"/>
    <col min="9503" max="9728" width="9.140625" style="524"/>
    <col min="9729" max="9729" width="3.5703125" style="524" customWidth="1"/>
    <col min="9730" max="9730" width="3.7109375" style="524" customWidth="1"/>
    <col min="9731" max="9731" width="4.28515625" style="524" customWidth="1"/>
    <col min="9732" max="9732" width="17.85546875" style="524" customWidth="1"/>
    <col min="9733" max="9733" width="9.5703125" style="524" customWidth="1"/>
    <col min="9734" max="9734" width="5.42578125" style="524" customWidth="1"/>
    <col min="9735" max="9735" width="10.5703125" style="524" customWidth="1"/>
    <col min="9736" max="9736" width="9.42578125" style="524" customWidth="1"/>
    <col min="9737" max="9737" width="9.28515625" style="524" customWidth="1"/>
    <col min="9738" max="9738" width="7.7109375" style="524" customWidth="1"/>
    <col min="9739" max="9739" width="6.140625" style="524" customWidth="1"/>
    <col min="9740" max="9740" width="10" style="524" customWidth="1"/>
    <col min="9741" max="9741" width="8.85546875" style="524" customWidth="1"/>
    <col min="9742" max="9742" width="7.42578125" style="524" customWidth="1"/>
    <col min="9743" max="9743" width="7.85546875" style="524" customWidth="1"/>
    <col min="9744" max="9744" width="13.28515625" style="524" customWidth="1"/>
    <col min="9745" max="9745" width="10" style="524" customWidth="1"/>
    <col min="9746" max="9746" width="17.42578125" style="524" customWidth="1"/>
    <col min="9747" max="9748" width="6.5703125" style="524" customWidth="1"/>
    <col min="9749" max="9749" width="18.42578125" style="524" customWidth="1"/>
    <col min="9750" max="9750" width="9.140625" style="524"/>
    <col min="9751" max="9758" width="0" style="524" hidden="1" customWidth="1"/>
    <col min="9759" max="9984" width="9.140625" style="524"/>
    <col min="9985" max="9985" width="3.5703125" style="524" customWidth="1"/>
    <col min="9986" max="9986" width="3.7109375" style="524" customWidth="1"/>
    <col min="9987" max="9987" width="4.28515625" style="524" customWidth="1"/>
    <col min="9988" max="9988" width="17.85546875" style="524" customWidth="1"/>
    <col min="9989" max="9989" width="9.5703125" style="524" customWidth="1"/>
    <col min="9990" max="9990" width="5.42578125" style="524" customWidth="1"/>
    <col min="9991" max="9991" width="10.5703125" style="524" customWidth="1"/>
    <col min="9992" max="9992" width="9.42578125" style="524" customWidth="1"/>
    <col min="9993" max="9993" width="9.28515625" style="524" customWidth="1"/>
    <col min="9994" max="9994" width="7.7109375" style="524" customWidth="1"/>
    <col min="9995" max="9995" width="6.140625" style="524" customWidth="1"/>
    <col min="9996" max="9996" width="10" style="524" customWidth="1"/>
    <col min="9997" max="9997" width="8.85546875" style="524" customWidth="1"/>
    <col min="9998" max="9998" width="7.42578125" style="524" customWidth="1"/>
    <col min="9999" max="9999" width="7.85546875" style="524" customWidth="1"/>
    <col min="10000" max="10000" width="13.28515625" style="524" customWidth="1"/>
    <col min="10001" max="10001" width="10" style="524" customWidth="1"/>
    <col min="10002" max="10002" width="17.42578125" style="524" customWidth="1"/>
    <col min="10003" max="10004" width="6.5703125" style="524" customWidth="1"/>
    <col min="10005" max="10005" width="18.42578125" style="524" customWidth="1"/>
    <col min="10006" max="10006" width="9.140625" style="524"/>
    <col min="10007" max="10014" width="0" style="524" hidden="1" customWidth="1"/>
    <col min="10015" max="10240" width="9.140625" style="524"/>
    <col min="10241" max="10241" width="3.5703125" style="524" customWidth="1"/>
    <col min="10242" max="10242" width="3.7109375" style="524" customWidth="1"/>
    <col min="10243" max="10243" width="4.28515625" style="524" customWidth="1"/>
    <col min="10244" max="10244" width="17.85546875" style="524" customWidth="1"/>
    <col min="10245" max="10245" width="9.5703125" style="524" customWidth="1"/>
    <col min="10246" max="10246" width="5.42578125" style="524" customWidth="1"/>
    <col min="10247" max="10247" width="10.5703125" style="524" customWidth="1"/>
    <col min="10248" max="10248" width="9.42578125" style="524" customWidth="1"/>
    <col min="10249" max="10249" width="9.28515625" style="524" customWidth="1"/>
    <col min="10250" max="10250" width="7.7109375" style="524" customWidth="1"/>
    <col min="10251" max="10251" width="6.140625" style="524" customWidth="1"/>
    <col min="10252" max="10252" width="10" style="524" customWidth="1"/>
    <col min="10253" max="10253" width="8.85546875" style="524" customWidth="1"/>
    <col min="10254" max="10254" width="7.42578125" style="524" customWidth="1"/>
    <col min="10255" max="10255" width="7.85546875" style="524" customWidth="1"/>
    <col min="10256" max="10256" width="13.28515625" style="524" customWidth="1"/>
    <col min="10257" max="10257" width="10" style="524" customWidth="1"/>
    <col min="10258" max="10258" width="17.42578125" style="524" customWidth="1"/>
    <col min="10259" max="10260" width="6.5703125" style="524" customWidth="1"/>
    <col min="10261" max="10261" width="18.42578125" style="524" customWidth="1"/>
    <col min="10262" max="10262" width="9.140625" style="524"/>
    <col min="10263" max="10270" width="0" style="524" hidden="1" customWidth="1"/>
    <col min="10271" max="10496" width="9.140625" style="524"/>
    <col min="10497" max="10497" width="3.5703125" style="524" customWidth="1"/>
    <col min="10498" max="10498" width="3.7109375" style="524" customWidth="1"/>
    <col min="10499" max="10499" width="4.28515625" style="524" customWidth="1"/>
    <col min="10500" max="10500" width="17.85546875" style="524" customWidth="1"/>
    <col min="10501" max="10501" width="9.5703125" style="524" customWidth="1"/>
    <col min="10502" max="10502" width="5.42578125" style="524" customWidth="1"/>
    <col min="10503" max="10503" width="10.5703125" style="524" customWidth="1"/>
    <col min="10504" max="10504" width="9.42578125" style="524" customWidth="1"/>
    <col min="10505" max="10505" width="9.28515625" style="524" customWidth="1"/>
    <col min="10506" max="10506" width="7.7109375" style="524" customWidth="1"/>
    <col min="10507" max="10507" width="6.140625" style="524" customWidth="1"/>
    <col min="10508" max="10508" width="10" style="524" customWidth="1"/>
    <col min="10509" max="10509" width="8.85546875" style="524" customWidth="1"/>
    <col min="10510" max="10510" width="7.42578125" style="524" customWidth="1"/>
    <col min="10511" max="10511" width="7.85546875" style="524" customWidth="1"/>
    <col min="10512" max="10512" width="13.28515625" style="524" customWidth="1"/>
    <col min="10513" max="10513" width="10" style="524" customWidth="1"/>
    <col min="10514" max="10514" width="17.42578125" style="524" customWidth="1"/>
    <col min="10515" max="10516" width="6.5703125" style="524" customWidth="1"/>
    <col min="10517" max="10517" width="18.42578125" style="524" customWidth="1"/>
    <col min="10518" max="10518" width="9.140625" style="524"/>
    <col min="10519" max="10526" width="0" style="524" hidden="1" customWidth="1"/>
    <col min="10527" max="10752" width="9.140625" style="524"/>
    <col min="10753" max="10753" width="3.5703125" style="524" customWidth="1"/>
    <col min="10754" max="10754" width="3.7109375" style="524" customWidth="1"/>
    <col min="10755" max="10755" width="4.28515625" style="524" customWidth="1"/>
    <col min="10756" max="10756" width="17.85546875" style="524" customWidth="1"/>
    <col min="10757" max="10757" width="9.5703125" style="524" customWidth="1"/>
    <col min="10758" max="10758" width="5.42578125" style="524" customWidth="1"/>
    <col min="10759" max="10759" width="10.5703125" style="524" customWidth="1"/>
    <col min="10760" max="10760" width="9.42578125" style="524" customWidth="1"/>
    <col min="10761" max="10761" width="9.28515625" style="524" customWidth="1"/>
    <col min="10762" max="10762" width="7.7109375" style="524" customWidth="1"/>
    <col min="10763" max="10763" width="6.140625" style="524" customWidth="1"/>
    <col min="10764" max="10764" width="10" style="524" customWidth="1"/>
    <col min="10765" max="10765" width="8.85546875" style="524" customWidth="1"/>
    <col min="10766" max="10766" width="7.42578125" style="524" customWidth="1"/>
    <col min="10767" max="10767" width="7.85546875" style="524" customWidth="1"/>
    <col min="10768" max="10768" width="13.28515625" style="524" customWidth="1"/>
    <col min="10769" max="10769" width="10" style="524" customWidth="1"/>
    <col min="10770" max="10770" width="17.42578125" style="524" customWidth="1"/>
    <col min="10771" max="10772" width="6.5703125" style="524" customWidth="1"/>
    <col min="10773" max="10773" width="18.42578125" style="524" customWidth="1"/>
    <col min="10774" max="10774" width="9.140625" style="524"/>
    <col min="10775" max="10782" width="0" style="524" hidden="1" customWidth="1"/>
    <col min="10783" max="11008" width="9.140625" style="524"/>
    <col min="11009" max="11009" width="3.5703125" style="524" customWidth="1"/>
    <col min="11010" max="11010" width="3.7109375" style="524" customWidth="1"/>
    <col min="11011" max="11011" width="4.28515625" style="524" customWidth="1"/>
    <col min="11012" max="11012" width="17.85546875" style="524" customWidth="1"/>
    <col min="11013" max="11013" width="9.5703125" style="524" customWidth="1"/>
    <col min="11014" max="11014" width="5.42578125" style="524" customWidth="1"/>
    <col min="11015" max="11015" width="10.5703125" style="524" customWidth="1"/>
    <col min="11016" max="11016" width="9.42578125" style="524" customWidth="1"/>
    <col min="11017" max="11017" width="9.28515625" style="524" customWidth="1"/>
    <col min="11018" max="11018" width="7.7109375" style="524" customWidth="1"/>
    <col min="11019" max="11019" width="6.140625" style="524" customWidth="1"/>
    <col min="11020" max="11020" width="10" style="524" customWidth="1"/>
    <col min="11021" max="11021" width="8.85546875" style="524" customWidth="1"/>
    <col min="11022" max="11022" width="7.42578125" style="524" customWidth="1"/>
    <col min="11023" max="11023" width="7.85546875" style="524" customWidth="1"/>
    <col min="11024" max="11024" width="13.28515625" style="524" customWidth="1"/>
    <col min="11025" max="11025" width="10" style="524" customWidth="1"/>
    <col min="11026" max="11026" width="17.42578125" style="524" customWidth="1"/>
    <col min="11027" max="11028" width="6.5703125" style="524" customWidth="1"/>
    <col min="11029" max="11029" width="18.42578125" style="524" customWidth="1"/>
    <col min="11030" max="11030" width="9.140625" style="524"/>
    <col min="11031" max="11038" width="0" style="524" hidden="1" customWidth="1"/>
    <col min="11039" max="11264" width="9.140625" style="524"/>
    <col min="11265" max="11265" width="3.5703125" style="524" customWidth="1"/>
    <col min="11266" max="11266" width="3.7109375" style="524" customWidth="1"/>
    <col min="11267" max="11267" width="4.28515625" style="524" customWidth="1"/>
    <col min="11268" max="11268" width="17.85546875" style="524" customWidth="1"/>
    <col min="11269" max="11269" width="9.5703125" style="524" customWidth="1"/>
    <col min="11270" max="11270" width="5.42578125" style="524" customWidth="1"/>
    <col min="11271" max="11271" width="10.5703125" style="524" customWidth="1"/>
    <col min="11272" max="11272" width="9.42578125" style="524" customWidth="1"/>
    <col min="11273" max="11273" width="9.28515625" style="524" customWidth="1"/>
    <col min="11274" max="11274" width="7.7109375" style="524" customWidth="1"/>
    <col min="11275" max="11275" width="6.140625" style="524" customWidth="1"/>
    <col min="11276" max="11276" width="10" style="524" customWidth="1"/>
    <col min="11277" max="11277" width="8.85546875" style="524" customWidth="1"/>
    <col min="11278" max="11278" width="7.42578125" style="524" customWidth="1"/>
    <col min="11279" max="11279" width="7.85546875" style="524" customWidth="1"/>
    <col min="11280" max="11280" width="13.28515625" style="524" customWidth="1"/>
    <col min="11281" max="11281" width="10" style="524" customWidth="1"/>
    <col min="11282" max="11282" width="17.42578125" style="524" customWidth="1"/>
    <col min="11283" max="11284" width="6.5703125" style="524" customWidth="1"/>
    <col min="11285" max="11285" width="18.42578125" style="524" customWidth="1"/>
    <col min="11286" max="11286" width="9.140625" style="524"/>
    <col min="11287" max="11294" width="0" style="524" hidden="1" customWidth="1"/>
    <col min="11295" max="11520" width="9.140625" style="524"/>
    <col min="11521" max="11521" width="3.5703125" style="524" customWidth="1"/>
    <col min="11522" max="11522" width="3.7109375" style="524" customWidth="1"/>
    <col min="11523" max="11523" width="4.28515625" style="524" customWidth="1"/>
    <col min="11524" max="11524" width="17.85546875" style="524" customWidth="1"/>
    <col min="11525" max="11525" width="9.5703125" style="524" customWidth="1"/>
    <col min="11526" max="11526" width="5.42578125" style="524" customWidth="1"/>
    <col min="11527" max="11527" width="10.5703125" style="524" customWidth="1"/>
    <col min="11528" max="11528" width="9.42578125" style="524" customWidth="1"/>
    <col min="11529" max="11529" width="9.28515625" style="524" customWidth="1"/>
    <col min="11530" max="11530" width="7.7109375" style="524" customWidth="1"/>
    <col min="11531" max="11531" width="6.140625" style="524" customWidth="1"/>
    <col min="11532" max="11532" width="10" style="524" customWidth="1"/>
    <col min="11533" max="11533" width="8.85546875" style="524" customWidth="1"/>
    <col min="11534" max="11534" width="7.42578125" style="524" customWidth="1"/>
    <col min="11535" max="11535" width="7.85546875" style="524" customWidth="1"/>
    <col min="11536" max="11536" width="13.28515625" style="524" customWidth="1"/>
    <col min="11537" max="11537" width="10" style="524" customWidth="1"/>
    <col min="11538" max="11538" width="17.42578125" style="524" customWidth="1"/>
    <col min="11539" max="11540" width="6.5703125" style="524" customWidth="1"/>
    <col min="11541" max="11541" width="18.42578125" style="524" customWidth="1"/>
    <col min="11542" max="11542" width="9.140625" style="524"/>
    <col min="11543" max="11550" width="0" style="524" hidden="1" customWidth="1"/>
    <col min="11551" max="11776" width="9.140625" style="524"/>
    <col min="11777" max="11777" width="3.5703125" style="524" customWidth="1"/>
    <col min="11778" max="11778" width="3.7109375" style="524" customWidth="1"/>
    <col min="11779" max="11779" width="4.28515625" style="524" customWidth="1"/>
    <col min="11780" max="11780" width="17.85546875" style="524" customWidth="1"/>
    <col min="11781" max="11781" width="9.5703125" style="524" customWidth="1"/>
    <col min="11782" max="11782" width="5.42578125" style="524" customWidth="1"/>
    <col min="11783" max="11783" width="10.5703125" style="524" customWidth="1"/>
    <col min="11784" max="11784" width="9.42578125" style="524" customWidth="1"/>
    <col min="11785" max="11785" width="9.28515625" style="524" customWidth="1"/>
    <col min="11786" max="11786" width="7.7109375" style="524" customWidth="1"/>
    <col min="11787" max="11787" width="6.140625" style="524" customWidth="1"/>
    <col min="11788" max="11788" width="10" style="524" customWidth="1"/>
    <col min="11789" max="11789" width="8.85546875" style="524" customWidth="1"/>
    <col min="11790" max="11790" width="7.42578125" style="524" customWidth="1"/>
    <col min="11791" max="11791" width="7.85546875" style="524" customWidth="1"/>
    <col min="11792" max="11792" width="13.28515625" style="524" customWidth="1"/>
    <col min="11793" max="11793" width="10" style="524" customWidth="1"/>
    <col min="11794" max="11794" width="17.42578125" style="524" customWidth="1"/>
    <col min="11795" max="11796" width="6.5703125" style="524" customWidth="1"/>
    <col min="11797" max="11797" width="18.42578125" style="524" customWidth="1"/>
    <col min="11798" max="11798" width="9.140625" style="524"/>
    <col min="11799" max="11806" width="0" style="524" hidden="1" customWidth="1"/>
    <col min="11807" max="12032" width="9.140625" style="524"/>
    <col min="12033" max="12033" width="3.5703125" style="524" customWidth="1"/>
    <col min="12034" max="12034" width="3.7109375" style="524" customWidth="1"/>
    <col min="12035" max="12035" width="4.28515625" style="524" customWidth="1"/>
    <col min="12036" max="12036" width="17.85546875" style="524" customWidth="1"/>
    <col min="12037" max="12037" width="9.5703125" style="524" customWidth="1"/>
    <col min="12038" max="12038" width="5.42578125" style="524" customWidth="1"/>
    <col min="12039" max="12039" width="10.5703125" style="524" customWidth="1"/>
    <col min="12040" max="12040" width="9.42578125" style="524" customWidth="1"/>
    <col min="12041" max="12041" width="9.28515625" style="524" customWidth="1"/>
    <col min="12042" max="12042" width="7.7109375" style="524" customWidth="1"/>
    <col min="12043" max="12043" width="6.140625" style="524" customWidth="1"/>
    <col min="12044" max="12044" width="10" style="524" customWidth="1"/>
    <col min="12045" max="12045" width="8.85546875" style="524" customWidth="1"/>
    <col min="12046" max="12046" width="7.42578125" style="524" customWidth="1"/>
    <col min="12047" max="12047" width="7.85546875" style="524" customWidth="1"/>
    <col min="12048" max="12048" width="13.28515625" style="524" customWidth="1"/>
    <col min="12049" max="12049" width="10" style="524" customWidth="1"/>
    <col min="12050" max="12050" width="17.42578125" style="524" customWidth="1"/>
    <col min="12051" max="12052" width="6.5703125" style="524" customWidth="1"/>
    <col min="12053" max="12053" width="18.42578125" style="524" customWidth="1"/>
    <col min="12054" max="12054" width="9.140625" style="524"/>
    <col min="12055" max="12062" width="0" style="524" hidden="1" customWidth="1"/>
    <col min="12063" max="12288" width="9.140625" style="524"/>
    <col min="12289" max="12289" width="3.5703125" style="524" customWidth="1"/>
    <col min="12290" max="12290" width="3.7109375" style="524" customWidth="1"/>
    <col min="12291" max="12291" width="4.28515625" style="524" customWidth="1"/>
    <col min="12292" max="12292" width="17.85546875" style="524" customWidth="1"/>
    <col min="12293" max="12293" width="9.5703125" style="524" customWidth="1"/>
    <col min="12294" max="12294" width="5.42578125" style="524" customWidth="1"/>
    <col min="12295" max="12295" width="10.5703125" style="524" customWidth="1"/>
    <col min="12296" max="12296" width="9.42578125" style="524" customWidth="1"/>
    <col min="12297" max="12297" width="9.28515625" style="524" customWidth="1"/>
    <col min="12298" max="12298" width="7.7109375" style="524" customWidth="1"/>
    <col min="12299" max="12299" width="6.140625" style="524" customWidth="1"/>
    <col min="12300" max="12300" width="10" style="524" customWidth="1"/>
    <col min="12301" max="12301" width="8.85546875" style="524" customWidth="1"/>
    <col min="12302" max="12302" width="7.42578125" style="524" customWidth="1"/>
    <col min="12303" max="12303" width="7.85546875" style="524" customWidth="1"/>
    <col min="12304" max="12304" width="13.28515625" style="524" customWidth="1"/>
    <col min="12305" max="12305" width="10" style="524" customWidth="1"/>
    <col min="12306" max="12306" width="17.42578125" style="524" customWidth="1"/>
    <col min="12307" max="12308" width="6.5703125" style="524" customWidth="1"/>
    <col min="12309" max="12309" width="18.42578125" style="524" customWidth="1"/>
    <col min="12310" max="12310" width="9.140625" style="524"/>
    <col min="12311" max="12318" width="0" style="524" hidden="1" customWidth="1"/>
    <col min="12319" max="12544" width="9.140625" style="524"/>
    <col min="12545" max="12545" width="3.5703125" style="524" customWidth="1"/>
    <col min="12546" max="12546" width="3.7109375" style="524" customWidth="1"/>
    <col min="12547" max="12547" width="4.28515625" style="524" customWidth="1"/>
    <col min="12548" max="12548" width="17.85546875" style="524" customWidth="1"/>
    <col min="12549" max="12549" width="9.5703125" style="524" customWidth="1"/>
    <col min="12550" max="12550" width="5.42578125" style="524" customWidth="1"/>
    <col min="12551" max="12551" width="10.5703125" style="524" customWidth="1"/>
    <col min="12552" max="12552" width="9.42578125" style="524" customWidth="1"/>
    <col min="12553" max="12553" width="9.28515625" style="524" customWidth="1"/>
    <col min="12554" max="12554" width="7.7109375" style="524" customWidth="1"/>
    <col min="12555" max="12555" width="6.140625" style="524" customWidth="1"/>
    <col min="12556" max="12556" width="10" style="524" customWidth="1"/>
    <col min="12557" max="12557" width="8.85546875" style="524" customWidth="1"/>
    <col min="12558" max="12558" width="7.42578125" style="524" customWidth="1"/>
    <col min="12559" max="12559" width="7.85546875" style="524" customWidth="1"/>
    <col min="12560" max="12560" width="13.28515625" style="524" customWidth="1"/>
    <col min="12561" max="12561" width="10" style="524" customWidth="1"/>
    <col min="12562" max="12562" width="17.42578125" style="524" customWidth="1"/>
    <col min="12563" max="12564" width="6.5703125" style="524" customWidth="1"/>
    <col min="12565" max="12565" width="18.42578125" style="524" customWidth="1"/>
    <col min="12566" max="12566" width="9.140625" style="524"/>
    <col min="12567" max="12574" width="0" style="524" hidden="1" customWidth="1"/>
    <col min="12575" max="12800" width="9.140625" style="524"/>
    <col min="12801" max="12801" width="3.5703125" style="524" customWidth="1"/>
    <col min="12802" max="12802" width="3.7109375" style="524" customWidth="1"/>
    <col min="12803" max="12803" width="4.28515625" style="524" customWidth="1"/>
    <col min="12804" max="12804" width="17.85546875" style="524" customWidth="1"/>
    <col min="12805" max="12805" width="9.5703125" style="524" customWidth="1"/>
    <col min="12806" max="12806" width="5.42578125" style="524" customWidth="1"/>
    <col min="12807" max="12807" width="10.5703125" style="524" customWidth="1"/>
    <col min="12808" max="12808" width="9.42578125" style="524" customWidth="1"/>
    <col min="12809" max="12809" width="9.28515625" style="524" customWidth="1"/>
    <col min="12810" max="12810" width="7.7109375" style="524" customWidth="1"/>
    <col min="12811" max="12811" width="6.140625" style="524" customWidth="1"/>
    <col min="12812" max="12812" width="10" style="524" customWidth="1"/>
    <col min="12813" max="12813" width="8.85546875" style="524" customWidth="1"/>
    <col min="12814" max="12814" width="7.42578125" style="524" customWidth="1"/>
    <col min="12815" max="12815" width="7.85546875" style="524" customWidth="1"/>
    <col min="12816" max="12816" width="13.28515625" style="524" customWidth="1"/>
    <col min="12817" max="12817" width="10" style="524" customWidth="1"/>
    <col min="12818" max="12818" width="17.42578125" style="524" customWidth="1"/>
    <col min="12819" max="12820" width="6.5703125" style="524" customWidth="1"/>
    <col min="12821" max="12821" width="18.42578125" style="524" customWidth="1"/>
    <col min="12822" max="12822" width="9.140625" style="524"/>
    <col min="12823" max="12830" width="0" style="524" hidden="1" customWidth="1"/>
    <col min="12831" max="13056" width="9.140625" style="524"/>
    <col min="13057" max="13057" width="3.5703125" style="524" customWidth="1"/>
    <col min="13058" max="13058" width="3.7109375" style="524" customWidth="1"/>
    <col min="13059" max="13059" width="4.28515625" style="524" customWidth="1"/>
    <col min="13060" max="13060" width="17.85546875" style="524" customWidth="1"/>
    <col min="13061" max="13061" width="9.5703125" style="524" customWidth="1"/>
    <col min="13062" max="13062" width="5.42578125" style="524" customWidth="1"/>
    <col min="13063" max="13063" width="10.5703125" style="524" customWidth="1"/>
    <col min="13064" max="13064" width="9.42578125" style="524" customWidth="1"/>
    <col min="13065" max="13065" width="9.28515625" style="524" customWidth="1"/>
    <col min="13066" max="13066" width="7.7109375" style="524" customWidth="1"/>
    <col min="13067" max="13067" width="6.140625" style="524" customWidth="1"/>
    <col min="13068" max="13068" width="10" style="524" customWidth="1"/>
    <col min="13069" max="13069" width="8.85546875" style="524" customWidth="1"/>
    <col min="13070" max="13070" width="7.42578125" style="524" customWidth="1"/>
    <col min="13071" max="13071" width="7.85546875" style="524" customWidth="1"/>
    <col min="13072" max="13072" width="13.28515625" style="524" customWidth="1"/>
    <col min="13073" max="13073" width="10" style="524" customWidth="1"/>
    <col min="13074" max="13074" width="17.42578125" style="524" customWidth="1"/>
    <col min="13075" max="13076" width="6.5703125" style="524" customWidth="1"/>
    <col min="13077" max="13077" width="18.42578125" style="524" customWidth="1"/>
    <col min="13078" max="13078" width="9.140625" style="524"/>
    <col min="13079" max="13086" width="0" style="524" hidden="1" customWidth="1"/>
    <col min="13087" max="13312" width="9.140625" style="524"/>
    <col min="13313" max="13313" width="3.5703125" style="524" customWidth="1"/>
    <col min="13314" max="13314" width="3.7109375" style="524" customWidth="1"/>
    <col min="13315" max="13315" width="4.28515625" style="524" customWidth="1"/>
    <col min="13316" max="13316" width="17.85546875" style="524" customWidth="1"/>
    <col min="13317" max="13317" width="9.5703125" style="524" customWidth="1"/>
    <col min="13318" max="13318" width="5.42578125" style="524" customWidth="1"/>
    <col min="13319" max="13319" width="10.5703125" style="524" customWidth="1"/>
    <col min="13320" max="13320" width="9.42578125" style="524" customWidth="1"/>
    <col min="13321" max="13321" width="9.28515625" style="524" customWidth="1"/>
    <col min="13322" max="13322" width="7.7109375" style="524" customWidth="1"/>
    <col min="13323" max="13323" width="6.140625" style="524" customWidth="1"/>
    <col min="13324" max="13324" width="10" style="524" customWidth="1"/>
    <col min="13325" max="13325" width="8.85546875" style="524" customWidth="1"/>
    <col min="13326" max="13326" width="7.42578125" style="524" customWidth="1"/>
    <col min="13327" max="13327" width="7.85546875" style="524" customWidth="1"/>
    <col min="13328" max="13328" width="13.28515625" style="524" customWidth="1"/>
    <col min="13329" max="13329" width="10" style="524" customWidth="1"/>
    <col min="13330" max="13330" width="17.42578125" style="524" customWidth="1"/>
    <col min="13331" max="13332" width="6.5703125" style="524" customWidth="1"/>
    <col min="13333" max="13333" width="18.42578125" style="524" customWidth="1"/>
    <col min="13334" max="13334" width="9.140625" style="524"/>
    <col min="13335" max="13342" width="0" style="524" hidden="1" customWidth="1"/>
    <col min="13343" max="13568" width="9.140625" style="524"/>
    <col min="13569" max="13569" width="3.5703125" style="524" customWidth="1"/>
    <col min="13570" max="13570" width="3.7109375" style="524" customWidth="1"/>
    <col min="13571" max="13571" width="4.28515625" style="524" customWidth="1"/>
    <col min="13572" max="13572" width="17.85546875" style="524" customWidth="1"/>
    <col min="13573" max="13573" width="9.5703125" style="524" customWidth="1"/>
    <col min="13574" max="13574" width="5.42578125" style="524" customWidth="1"/>
    <col min="13575" max="13575" width="10.5703125" style="524" customWidth="1"/>
    <col min="13576" max="13576" width="9.42578125" style="524" customWidth="1"/>
    <col min="13577" max="13577" width="9.28515625" style="524" customWidth="1"/>
    <col min="13578" max="13578" width="7.7109375" style="524" customWidth="1"/>
    <col min="13579" max="13579" width="6.140625" style="524" customWidth="1"/>
    <col min="13580" max="13580" width="10" style="524" customWidth="1"/>
    <col min="13581" max="13581" width="8.85546875" style="524" customWidth="1"/>
    <col min="13582" max="13582" width="7.42578125" style="524" customWidth="1"/>
    <col min="13583" max="13583" width="7.85546875" style="524" customWidth="1"/>
    <col min="13584" max="13584" width="13.28515625" style="524" customWidth="1"/>
    <col min="13585" max="13585" width="10" style="524" customWidth="1"/>
    <col min="13586" max="13586" width="17.42578125" style="524" customWidth="1"/>
    <col min="13587" max="13588" width="6.5703125" style="524" customWidth="1"/>
    <col min="13589" max="13589" width="18.42578125" style="524" customWidth="1"/>
    <col min="13590" max="13590" width="9.140625" style="524"/>
    <col min="13591" max="13598" width="0" style="524" hidden="1" customWidth="1"/>
    <col min="13599" max="13824" width="9.140625" style="524"/>
    <col min="13825" max="13825" width="3.5703125" style="524" customWidth="1"/>
    <col min="13826" max="13826" width="3.7109375" style="524" customWidth="1"/>
    <col min="13827" max="13827" width="4.28515625" style="524" customWidth="1"/>
    <col min="13828" max="13828" width="17.85546875" style="524" customWidth="1"/>
    <col min="13829" max="13829" width="9.5703125" style="524" customWidth="1"/>
    <col min="13830" max="13830" width="5.42578125" style="524" customWidth="1"/>
    <col min="13831" max="13831" width="10.5703125" style="524" customWidth="1"/>
    <col min="13832" max="13832" width="9.42578125" style="524" customWidth="1"/>
    <col min="13833" max="13833" width="9.28515625" style="524" customWidth="1"/>
    <col min="13834" max="13834" width="7.7109375" style="524" customWidth="1"/>
    <col min="13835" max="13835" width="6.140625" style="524" customWidth="1"/>
    <col min="13836" max="13836" width="10" style="524" customWidth="1"/>
    <col min="13837" max="13837" width="8.85546875" style="524" customWidth="1"/>
    <col min="13838" max="13838" width="7.42578125" style="524" customWidth="1"/>
    <col min="13839" max="13839" width="7.85546875" style="524" customWidth="1"/>
    <col min="13840" max="13840" width="13.28515625" style="524" customWidth="1"/>
    <col min="13841" max="13841" width="10" style="524" customWidth="1"/>
    <col min="13842" max="13842" width="17.42578125" style="524" customWidth="1"/>
    <col min="13843" max="13844" width="6.5703125" style="524" customWidth="1"/>
    <col min="13845" max="13845" width="18.42578125" style="524" customWidth="1"/>
    <col min="13846" max="13846" width="9.140625" style="524"/>
    <col min="13847" max="13854" width="0" style="524" hidden="1" customWidth="1"/>
    <col min="13855" max="14080" width="9.140625" style="524"/>
    <col min="14081" max="14081" width="3.5703125" style="524" customWidth="1"/>
    <col min="14082" max="14082" width="3.7109375" style="524" customWidth="1"/>
    <col min="14083" max="14083" width="4.28515625" style="524" customWidth="1"/>
    <col min="14084" max="14084" width="17.85546875" style="524" customWidth="1"/>
    <col min="14085" max="14085" width="9.5703125" style="524" customWidth="1"/>
    <col min="14086" max="14086" width="5.42578125" style="524" customWidth="1"/>
    <col min="14087" max="14087" width="10.5703125" style="524" customWidth="1"/>
    <col min="14088" max="14088" width="9.42578125" style="524" customWidth="1"/>
    <col min="14089" max="14089" width="9.28515625" style="524" customWidth="1"/>
    <col min="14090" max="14090" width="7.7109375" style="524" customWidth="1"/>
    <col min="14091" max="14091" width="6.140625" style="524" customWidth="1"/>
    <col min="14092" max="14092" width="10" style="524" customWidth="1"/>
    <col min="14093" max="14093" width="8.85546875" style="524" customWidth="1"/>
    <col min="14094" max="14094" width="7.42578125" style="524" customWidth="1"/>
    <col min="14095" max="14095" width="7.85546875" style="524" customWidth="1"/>
    <col min="14096" max="14096" width="13.28515625" style="524" customWidth="1"/>
    <col min="14097" max="14097" width="10" style="524" customWidth="1"/>
    <col min="14098" max="14098" width="17.42578125" style="524" customWidth="1"/>
    <col min="14099" max="14100" width="6.5703125" style="524" customWidth="1"/>
    <col min="14101" max="14101" width="18.42578125" style="524" customWidth="1"/>
    <col min="14102" max="14102" width="9.140625" style="524"/>
    <col min="14103" max="14110" width="0" style="524" hidden="1" customWidth="1"/>
    <col min="14111" max="14336" width="9.140625" style="524"/>
    <col min="14337" max="14337" width="3.5703125" style="524" customWidth="1"/>
    <col min="14338" max="14338" width="3.7109375" style="524" customWidth="1"/>
    <col min="14339" max="14339" width="4.28515625" style="524" customWidth="1"/>
    <col min="14340" max="14340" width="17.85546875" style="524" customWidth="1"/>
    <col min="14341" max="14341" width="9.5703125" style="524" customWidth="1"/>
    <col min="14342" max="14342" width="5.42578125" style="524" customWidth="1"/>
    <col min="14343" max="14343" width="10.5703125" style="524" customWidth="1"/>
    <col min="14344" max="14344" width="9.42578125" style="524" customWidth="1"/>
    <col min="14345" max="14345" width="9.28515625" style="524" customWidth="1"/>
    <col min="14346" max="14346" width="7.7109375" style="524" customWidth="1"/>
    <col min="14347" max="14347" width="6.140625" style="524" customWidth="1"/>
    <col min="14348" max="14348" width="10" style="524" customWidth="1"/>
    <col min="14349" max="14349" width="8.85546875" style="524" customWidth="1"/>
    <col min="14350" max="14350" width="7.42578125" style="524" customWidth="1"/>
    <col min="14351" max="14351" width="7.85546875" style="524" customWidth="1"/>
    <col min="14352" max="14352" width="13.28515625" style="524" customWidth="1"/>
    <col min="14353" max="14353" width="10" style="524" customWidth="1"/>
    <col min="14354" max="14354" width="17.42578125" style="524" customWidth="1"/>
    <col min="14355" max="14356" width="6.5703125" style="524" customWidth="1"/>
    <col min="14357" max="14357" width="18.42578125" style="524" customWidth="1"/>
    <col min="14358" max="14358" width="9.140625" style="524"/>
    <col min="14359" max="14366" width="0" style="524" hidden="1" customWidth="1"/>
    <col min="14367" max="14592" width="9.140625" style="524"/>
    <col min="14593" max="14593" width="3.5703125" style="524" customWidth="1"/>
    <col min="14594" max="14594" width="3.7109375" style="524" customWidth="1"/>
    <col min="14595" max="14595" width="4.28515625" style="524" customWidth="1"/>
    <col min="14596" max="14596" width="17.85546875" style="524" customWidth="1"/>
    <col min="14597" max="14597" width="9.5703125" style="524" customWidth="1"/>
    <col min="14598" max="14598" width="5.42578125" style="524" customWidth="1"/>
    <col min="14599" max="14599" width="10.5703125" style="524" customWidth="1"/>
    <col min="14600" max="14600" width="9.42578125" style="524" customWidth="1"/>
    <col min="14601" max="14601" width="9.28515625" style="524" customWidth="1"/>
    <col min="14602" max="14602" width="7.7109375" style="524" customWidth="1"/>
    <col min="14603" max="14603" width="6.140625" style="524" customWidth="1"/>
    <col min="14604" max="14604" width="10" style="524" customWidth="1"/>
    <col min="14605" max="14605" width="8.85546875" style="524" customWidth="1"/>
    <col min="14606" max="14606" width="7.42578125" style="524" customWidth="1"/>
    <col min="14607" max="14607" width="7.85546875" style="524" customWidth="1"/>
    <col min="14608" max="14608" width="13.28515625" style="524" customWidth="1"/>
    <col min="14609" max="14609" width="10" style="524" customWidth="1"/>
    <col min="14610" max="14610" width="17.42578125" style="524" customWidth="1"/>
    <col min="14611" max="14612" width="6.5703125" style="524" customWidth="1"/>
    <col min="14613" max="14613" width="18.42578125" style="524" customWidth="1"/>
    <col min="14614" max="14614" width="9.140625" style="524"/>
    <col min="14615" max="14622" width="0" style="524" hidden="1" customWidth="1"/>
    <col min="14623" max="14848" width="9.140625" style="524"/>
    <col min="14849" max="14849" width="3.5703125" style="524" customWidth="1"/>
    <col min="14850" max="14850" width="3.7109375" style="524" customWidth="1"/>
    <col min="14851" max="14851" width="4.28515625" style="524" customWidth="1"/>
    <col min="14852" max="14852" width="17.85546875" style="524" customWidth="1"/>
    <col min="14853" max="14853" width="9.5703125" style="524" customWidth="1"/>
    <col min="14854" max="14854" width="5.42578125" style="524" customWidth="1"/>
    <col min="14855" max="14855" width="10.5703125" style="524" customWidth="1"/>
    <col min="14856" max="14856" width="9.42578125" style="524" customWidth="1"/>
    <col min="14857" max="14857" width="9.28515625" style="524" customWidth="1"/>
    <col min="14858" max="14858" width="7.7109375" style="524" customWidth="1"/>
    <col min="14859" max="14859" width="6.140625" style="524" customWidth="1"/>
    <col min="14860" max="14860" width="10" style="524" customWidth="1"/>
    <col min="14861" max="14861" width="8.85546875" style="524" customWidth="1"/>
    <col min="14862" max="14862" width="7.42578125" style="524" customWidth="1"/>
    <col min="14863" max="14863" width="7.85546875" style="524" customWidth="1"/>
    <col min="14864" max="14864" width="13.28515625" style="524" customWidth="1"/>
    <col min="14865" max="14865" width="10" style="524" customWidth="1"/>
    <col min="14866" max="14866" width="17.42578125" style="524" customWidth="1"/>
    <col min="14867" max="14868" width="6.5703125" style="524" customWidth="1"/>
    <col min="14869" max="14869" width="18.42578125" style="524" customWidth="1"/>
    <col min="14870" max="14870" width="9.140625" style="524"/>
    <col min="14871" max="14878" width="0" style="524" hidden="1" customWidth="1"/>
    <col min="14879" max="15104" width="9.140625" style="524"/>
    <col min="15105" max="15105" width="3.5703125" style="524" customWidth="1"/>
    <col min="15106" max="15106" width="3.7109375" style="524" customWidth="1"/>
    <col min="15107" max="15107" width="4.28515625" style="524" customWidth="1"/>
    <col min="15108" max="15108" width="17.85546875" style="524" customWidth="1"/>
    <col min="15109" max="15109" width="9.5703125" style="524" customWidth="1"/>
    <col min="15110" max="15110" width="5.42578125" style="524" customWidth="1"/>
    <col min="15111" max="15111" width="10.5703125" style="524" customWidth="1"/>
    <col min="15112" max="15112" width="9.42578125" style="524" customWidth="1"/>
    <col min="15113" max="15113" width="9.28515625" style="524" customWidth="1"/>
    <col min="15114" max="15114" width="7.7109375" style="524" customWidth="1"/>
    <col min="15115" max="15115" width="6.140625" style="524" customWidth="1"/>
    <col min="15116" max="15116" width="10" style="524" customWidth="1"/>
    <col min="15117" max="15117" width="8.85546875" style="524" customWidth="1"/>
    <col min="15118" max="15118" width="7.42578125" style="524" customWidth="1"/>
    <col min="15119" max="15119" width="7.85546875" style="524" customWidth="1"/>
    <col min="15120" max="15120" width="13.28515625" style="524" customWidth="1"/>
    <col min="15121" max="15121" width="10" style="524" customWidth="1"/>
    <col min="15122" max="15122" width="17.42578125" style="524" customWidth="1"/>
    <col min="15123" max="15124" width="6.5703125" style="524" customWidth="1"/>
    <col min="15125" max="15125" width="18.42578125" style="524" customWidth="1"/>
    <col min="15126" max="15126" width="9.140625" style="524"/>
    <col min="15127" max="15134" width="0" style="524" hidden="1" customWidth="1"/>
    <col min="15135" max="15360" width="9.140625" style="524"/>
    <col min="15361" max="15361" width="3.5703125" style="524" customWidth="1"/>
    <col min="15362" max="15362" width="3.7109375" style="524" customWidth="1"/>
    <col min="15363" max="15363" width="4.28515625" style="524" customWidth="1"/>
    <col min="15364" max="15364" width="17.85546875" style="524" customWidth="1"/>
    <col min="15365" max="15365" width="9.5703125" style="524" customWidth="1"/>
    <col min="15366" max="15366" width="5.42578125" style="524" customWidth="1"/>
    <col min="15367" max="15367" width="10.5703125" style="524" customWidth="1"/>
    <col min="15368" max="15368" width="9.42578125" style="524" customWidth="1"/>
    <col min="15369" max="15369" width="9.28515625" style="524" customWidth="1"/>
    <col min="15370" max="15370" width="7.7109375" style="524" customWidth="1"/>
    <col min="15371" max="15371" width="6.140625" style="524" customWidth="1"/>
    <col min="15372" max="15372" width="10" style="524" customWidth="1"/>
    <col min="15373" max="15373" width="8.85546875" style="524" customWidth="1"/>
    <col min="15374" max="15374" width="7.42578125" style="524" customWidth="1"/>
    <col min="15375" max="15375" width="7.85546875" style="524" customWidth="1"/>
    <col min="15376" max="15376" width="13.28515625" style="524" customWidth="1"/>
    <col min="15377" max="15377" width="10" style="524" customWidth="1"/>
    <col min="15378" max="15378" width="17.42578125" style="524" customWidth="1"/>
    <col min="15379" max="15380" width="6.5703125" style="524" customWidth="1"/>
    <col min="15381" max="15381" width="18.42578125" style="524" customWidth="1"/>
    <col min="15382" max="15382" width="9.140625" style="524"/>
    <col min="15383" max="15390" width="0" style="524" hidden="1" customWidth="1"/>
    <col min="15391" max="15616" width="9.140625" style="524"/>
    <col min="15617" max="15617" width="3.5703125" style="524" customWidth="1"/>
    <col min="15618" max="15618" width="3.7109375" style="524" customWidth="1"/>
    <col min="15619" max="15619" width="4.28515625" style="524" customWidth="1"/>
    <col min="15620" max="15620" width="17.85546875" style="524" customWidth="1"/>
    <col min="15621" max="15621" width="9.5703125" style="524" customWidth="1"/>
    <col min="15622" max="15622" width="5.42578125" style="524" customWidth="1"/>
    <col min="15623" max="15623" width="10.5703125" style="524" customWidth="1"/>
    <col min="15624" max="15624" width="9.42578125" style="524" customWidth="1"/>
    <col min="15625" max="15625" width="9.28515625" style="524" customWidth="1"/>
    <col min="15626" max="15626" width="7.7109375" style="524" customWidth="1"/>
    <col min="15627" max="15627" width="6.140625" style="524" customWidth="1"/>
    <col min="15628" max="15628" width="10" style="524" customWidth="1"/>
    <col min="15629" max="15629" width="8.85546875" style="524" customWidth="1"/>
    <col min="15630" max="15630" width="7.42578125" style="524" customWidth="1"/>
    <col min="15631" max="15631" width="7.85546875" style="524" customWidth="1"/>
    <col min="15632" max="15632" width="13.28515625" style="524" customWidth="1"/>
    <col min="15633" max="15633" width="10" style="524" customWidth="1"/>
    <col min="15634" max="15634" width="17.42578125" style="524" customWidth="1"/>
    <col min="15635" max="15636" width="6.5703125" style="524" customWidth="1"/>
    <col min="15637" max="15637" width="18.42578125" style="524" customWidth="1"/>
    <col min="15638" max="15638" width="9.140625" style="524"/>
    <col min="15639" max="15646" width="0" style="524" hidden="1" customWidth="1"/>
    <col min="15647" max="15872" width="9.140625" style="524"/>
    <col min="15873" max="15873" width="3.5703125" style="524" customWidth="1"/>
    <col min="15874" max="15874" width="3.7109375" style="524" customWidth="1"/>
    <col min="15875" max="15875" width="4.28515625" style="524" customWidth="1"/>
    <col min="15876" max="15876" width="17.85546875" style="524" customWidth="1"/>
    <col min="15877" max="15877" width="9.5703125" style="524" customWidth="1"/>
    <col min="15878" max="15878" width="5.42578125" style="524" customWidth="1"/>
    <col min="15879" max="15879" width="10.5703125" style="524" customWidth="1"/>
    <col min="15880" max="15880" width="9.42578125" style="524" customWidth="1"/>
    <col min="15881" max="15881" width="9.28515625" style="524" customWidth="1"/>
    <col min="15882" max="15882" width="7.7109375" style="524" customWidth="1"/>
    <col min="15883" max="15883" width="6.140625" style="524" customWidth="1"/>
    <col min="15884" max="15884" width="10" style="524" customWidth="1"/>
    <col min="15885" max="15885" width="8.85546875" style="524" customWidth="1"/>
    <col min="15886" max="15886" width="7.42578125" style="524" customWidth="1"/>
    <col min="15887" max="15887" width="7.85546875" style="524" customWidth="1"/>
    <col min="15888" max="15888" width="13.28515625" style="524" customWidth="1"/>
    <col min="15889" max="15889" width="10" style="524" customWidth="1"/>
    <col min="15890" max="15890" width="17.42578125" style="524" customWidth="1"/>
    <col min="15891" max="15892" width="6.5703125" style="524" customWidth="1"/>
    <col min="15893" max="15893" width="18.42578125" style="524" customWidth="1"/>
    <col min="15894" max="15894" width="9.140625" style="524"/>
    <col min="15895" max="15902" width="0" style="524" hidden="1" customWidth="1"/>
    <col min="15903" max="16128" width="9.140625" style="524"/>
    <col min="16129" max="16129" width="3.5703125" style="524" customWidth="1"/>
    <col min="16130" max="16130" width="3.7109375" style="524" customWidth="1"/>
    <col min="16131" max="16131" width="4.28515625" style="524" customWidth="1"/>
    <col min="16132" max="16132" width="17.85546875" style="524" customWidth="1"/>
    <col min="16133" max="16133" width="9.5703125" style="524" customWidth="1"/>
    <col min="16134" max="16134" width="5.42578125" style="524" customWidth="1"/>
    <col min="16135" max="16135" width="10.5703125" style="524" customWidth="1"/>
    <col min="16136" max="16136" width="9.42578125" style="524" customWidth="1"/>
    <col min="16137" max="16137" width="9.28515625" style="524" customWidth="1"/>
    <col min="16138" max="16138" width="7.7109375" style="524" customWidth="1"/>
    <col min="16139" max="16139" width="6.140625" style="524" customWidth="1"/>
    <col min="16140" max="16140" width="10" style="524" customWidth="1"/>
    <col min="16141" max="16141" width="8.85546875" style="524" customWidth="1"/>
    <col min="16142" max="16142" width="7.42578125" style="524" customWidth="1"/>
    <col min="16143" max="16143" width="7.85546875" style="524" customWidth="1"/>
    <col min="16144" max="16144" width="13.28515625" style="524" customWidth="1"/>
    <col min="16145" max="16145" width="10" style="524" customWidth="1"/>
    <col min="16146" max="16146" width="17.42578125" style="524" customWidth="1"/>
    <col min="16147" max="16148" width="6.5703125" style="524" customWidth="1"/>
    <col min="16149" max="16149" width="18.42578125" style="524" customWidth="1"/>
    <col min="16150" max="16150" width="9.140625" style="524"/>
    <col min="16151" max="16158" width="0" style="524" hidden="1" customWidth="1"/>
    <col min="16159" max="16384" width="9.140625" style="524"/>
  </cols>
  <sheetData>
    <row r="1" spans="1:27" ht="36.75" customHeight="1" x14ac:dyDescent="0.2">
      <c r="R1" s="1254"/>
      <c r="S1" s="1254"/>
      <c r="T1" s="1254"/>
      <c r="U1" s="1254"/>
      <c r="V1" s="901"/>
      <c r="W1" s="901"/>
      <c r="X1" s="901"/>
    </row>
    <row r="2" spans="1:27" ht="15.75" customHeight="1" x14ac:dyDescent="0.2">
      <c r="A2" s="1306"/>
      <c r="B2" s="1306"/>
      <c r="C2" s="1306"/>
      <c r="D2" s="1306"/>
      <c r="E2" s="1306"/>
      <c r="F2" s="1306"/>
      <c r="G2" s="1306"/>
      <c r="H2" s="1306"/>
      <c r="I2" s="1306"/>
      <c r="J2" s="1306"/>
      <c r="K2" s="1306"/>
      <c r="L2" s="1306"/>
      <c r="M2" s="1306"/>
      <c r="N2" s="1306"/>
      <c r="O2" s="1306"/>
      <c r="P2" s="1306"/>
      <c r="Q2" s="1306"/>
      <c r="R2" s="1306"/>
      <c r="S2" s="1306"/>
      <c r="T2" s="1306"/>
      <c r="U2" s="1306"/>
    </row>
    <row r="3" spans="1:27" s="526" customFormat="1" ht="12" customHeight="1" x14ac:dyDescent="0.2">
      <c r="A3" s="1259"/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259"/>
      <c r="R3" s="1259"/>
      <c r="S3" s="1259"/>
      <c r="T3" s="1259"/>
      <c r="U3" s="1259"/>
      <c r="V3" s="524"/>
      <c r="W3" s="524"/>
      <c r="X3" s="524"/>
      <c r="Y3" s="524"/>
      <c r="Z3" s="524"/>
      <c r="AA3" s="524"/>
    </row>
    <row r="4" spans="1:27" s="742" customFormat="1" ht="15.75" customHeight="1" x14ac:dyDescent="0.2">
      <c r="A4" s="1579"/>
      <c r="B4" s="1579"/>
      <c r="C4" s="1579"/>
      <c r="D4" s="1579"/>
      <c r="E4" s="1579"/>
      <c r="F4" s="1579"/>
      <c r="G4" s="1579"/>
      <c r="H4" s="1579"/>
      <c r="I4" s="1579"/>
      <c r="J4" s="1579"/>
      <c r="K4" s="1579"/>
      <c r="L4" s="1579"/>
      <c r="M4" s="1579"/>
      <c r="N4" s="1579"/>
      <c r="O4" s="1579"/>
      <c r="P4" s="1579"/>
      <c r="Q4" s="1579"/>
      <c r="R4" s="1579"/>
      <c r="S4" s="1579"/>
      <c r="T4" s="1579"/>
      <c r="U4" s="1579"/>
    </row>
    <row r="5" spans="1:27" s="526" customFormat="1" ht="12.75" customHeight="1" x14ac:dyDescent="0.2">
      <c r="A5" s="1259" t="s">
        <v>600</v>
      </c>
      <c r="B5" s="1259"/>
      <c r="C5" s="1259"/>
      <c r="D5" s="1259"/>
      <c r="E5" s="1259"/>
      <c r="F5" s="1259"/>
      <c r="G5" s="1259"/>
      <c r="H5" s="1259"/>
      <c r="I5" s="1259"/>
      <c r="J5" s="1259"/>
      <c r="K5" s="1259"/>
      <c r="L5" s="1259"/>
      <c r="M5" s="1259"/>
      <c r="N5" s="1259"/>
      <c r="O5" s="1259"/>
      <c r="P5" s="1259"/>
      <c r="Q5" s="1259"/>
      <c r="R5" s="1259"/>
      <c r="S5" s="1259"/>
      <c r="T5" s="1259"/>
      <c r="U5" s="1259"/>
    </row>
    <row r="6" spans="1:27" ht="13.5" customHeight="1" x14ac:dyDescent="0.2">
      <c r="A6" s="1308" t="s">
        <v>192</v>
      </c>
      <c r="B6" s="1308"/>
      <c r="C6" s="1308"/>
      <c r="D6" s="1308"/>
      <c r="E6" s="1308"/>
      <c r="F6" s="1308"/>
      <c r="G6" s="1308"/>
      <c r="H6" s="1308"/>
      <c r="I6" s="1308"/>
      <c r="J6" s="1308"/>
      <c r="K6" s="1308"/>
      <c r="L6" s="1308"/>
      <c r="M6" s="1308"/>
      <c r="N6" s="1308"/>
      <c r="O6" s="1308"/>
      <c r="P6" s="1308"/>
      <c r="Q6" s="1308"/>
      <c r="R6" s="1308"/>
      <c r="S6" s="1308"/>
      <c r="T6" s="1308"/>
      <c r="U6" s="1308"/>
      <c r="V6" s="525"/>
      <c r="W6" s="525"/>
      <c r="X6" s="525"/>
      <c r="Y6" s="525"/>
      <c r="Z6" s="525"/>
      <c r="AA6" s="525"/>
    </row>
    <row r="7" spans="1:27" ht="14.25" customHeight="1" thickBot="1" x14ac:dyDescent="0.25">
      <c r="A7" s="1309" t="s">
        <v>601</v>
      </c>
      <c r="B7" s="1309"/>
      <c r="C7" s="1309"/>
      <c r="D7" s="1309"/>
      <c r="E7" s="1309"/>
      <c r="F7" s="1309"/>
      <c r="G7" s="1309"/>
      <c r="H7" s="1309"/>
      <c r="I7" s="1309"/>
      <c r="J7" s="1309"/>
      <c r="K7" s="1309"/>
      <c r="L7" s="1309"/>
      <c r="M7" s="1309"/>
      <c r="N7" s="1309"/>
      <c r="O7" s="1309"/>
      <c r="P7" s="1309"/>
      <c r="Q7" s="1309"/>
      <c r="R7" s="1310"/>
      <c r="S7" s="1310"/>
      <c r="T7" s="1310"/>
      <c r="U7" s="1310"/>
    </row>
    <row r="8" spans="1:27" ht="23.25" customHeight="1" x14ac:dyDescent="0.2">
      <c r="A8" s="1311" t="s">
        <v>0</v>
      </c>
      <c r="B8" s="1276" t="s">
        <v>1</v>
      </c>
      <c r="C8" s="1276" t="s">
        <v>2</v>
      </c>
      <c r="D8" s="1270" t="s">
        <v>3</v>
      </c>
      <c r="E8" s="1273" t="s">
        <v>4</v>
      </c>
      <c r="F8" s="1276" t="s">
        <v>5</v>
      </c>
      <c r="G8" s="1314" t="s">
        <v>6</v>
      </c>
      <c r="H8" s="1282" t="s">
        <v>518</v>
      </c>
      <c r="I8" s="1283"/>
      <c r="J8" s="1283"/>
      <c r="K8" s="1284"/>
      <c r="L8" s="1282" t="s">
        <v>519</v>
      </c>
      <c r="M8" s="1283"/>
      <c r="N8" s="1283"/>
      <c r="O8" s="1284"/>
      <c r="P8" s="1600" t="s">
        <v>173</v>
      </c>
      <c r="Q8" s="2121" t="s">
        <v>371</v>
      </c>
      <c r="R8" s="1322" t="s">
        <v>7</v>
      </c>
      <c r="S8" s="1323"/>
      <c r="T8" s="1323"/>
      <c r="U8" s="2124"/>
    </row>
    <row r="9" spans="1:27" ht="20.25" customHeight="1" x14ac:dyDescent="0.2">
      <c r="A9" s="1312"/>
      <c r="B9" s="1277"/>
      <c r="C9" s="1277"/>
      <c r="D9" s="1271"/>
      <c r="E9" s="1274"/>
      <c r="F9" s="1277"/>
      <c r="G9" s="1315"/>
      <c r="H9" s="1327" t="s">
        <v>8</v>
      </c>
      <c r="I9" s="1329" t="s">
        <v>9</v>
      </c>
      <c r="J9" s="1329"/>
      <c r="K9" s="1242" t="s">
        <v>10</v>
      </c>
      <c r="L9" s="1327" t="s">
        <v>8</v>
      </c>
      <c r="M9" s="1329" t="s">
        <v>9</v>
      </c>
      <c r="N9" s="1329"/>
      <c r="O9" s="1242" t="s">
        <v>10</v>
      </c>
      <c r="P9" s="1601"/>
      <c r="Q9" s="2122"/>
      <c r="R9" s="1575" t="s">
        <v>24</v>
      </c>
      <c r="S9" s="902" t="s">
        <v>520</v>
      </c>
      <c r="T9" s="902" t="s">
        <v>521</v>
      </c>
      <c r="U9" s="1598" t="s">
        <v>196</v>
      </c>
    </row>
    <row r="10" spans="1:27" ht="93.75" customHeight="1" thickBot="1" x14ac:dyDescent="0.25">
      <c r="A10" s="2126"/>
      <c r="B10" s="1278"/>
      <c r="C10" s="1278"/>
      <c r="D10" s="1272"/>
      <c r="E10" s="1275"/>
      <c r="F10" s="1278"/>
      <c r="G10" s="2127"/>
      <c r="H10" s="2125"/>
      <c r="I10" s="903" t="s">
        <v>8</v>
      </c>
      <c r="J10" s="904" t="s">
        <v>12</v>
      </c>
      <c r="K10" s="1243"/>
      <c r="L10" s="2125"/>
      <c r="M10" s="903" t="s">
        <v>8</v>
      </c>
      <c r="N10" s="904" t="s">
        <v>12</v>
      </c>
      <c r="O10" s="1243"/>
      <c r="P10" s="1602"/>
      <c r="Q10" s="2123"/>
      <c r="R10" s="1576"/>
      <c r="S10" s="746" t="s">
        <v>522</v>
      </c>
      <c r="T10" s="746" t="s">
        <v>602</v>
      </c>
      <c r="U10" s="1599"/>
    </row>
    <row r="11" spans="1:27" ht="15" customHeight="1" thickBot="1" x14ac:dyDescent="0.25">
      <c r="A11" s="1965" t="s">
        <v>27</v>
      </c>
      <c r="B11" s="1966"/>
      <c r="C11" s="1966"/>
      <c r="D11" s="1966"/>
      <c r="E11" s="1966"/>
      <c r="F11" s="1966"/>
      <c r="G11" s="1966"/>
      <c r="H11" s="1966"/>
      <c r="I11" s="1966"/>
      <c r="J11" s="1966"/>
      <c r="K11" s="1966"/>
      <c r="L11" s="1966"/>
      <c r="M11" s="1966"/>
      <c r="N11" s="1966"/>
      <c r="O11" s="1966"/>
      <c r="P11" s="1966"/>
      <c r="Q11" s="1966"/>
      <c r="R11" s="1966"/>
      <c r="S11" s="1966"/>
      <c r="T11" s="1966"/>
      <c r="U11" s="1967"/>
    </row>
    <row r="12" spans="1:27" ht="15" customHeight="1" thickBot="1" x14ac:dyDescent="0.25">
      <c r="A12" s="1348" t="s">
        <v>603</v>
      </c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50"/>
    </row>
    <row r="13" spans="1:27" ht="15" customHeight="1" thickBot="1" x14ac:dyDescent="0.25">
      <c r="A13" s="696" t="s">
        <v>17</v>
      </c>
      <c r="B13" s="2117" t="s">
        <v>604</v>
      </c>
      <c r="C13" s="1352"/>
      <c r="D13" s="1352"/>
      <c r="E13" s="1352"/>
      <c r="F13" s="1352"/>
      <c r="G13" s="1352"/>
      <c r="H13" s="1969"/>
      <c r="I13" s="1969"/>
      <c r="J13" s="1969"/>
      <c r="K13" s="1969"/>
      <c r="L13" s="1969"/>
      <c r="M13" s="1969"/>
      <c r="N13" s="1969"/>
      <c r="O13" s="1969"/>
      <c r="P13" s="1969"/>
      <c r="Q13" s="1969"/>
      <c r="R13" s="1969"/>
      <c r="S13" s="1969"/>
      <c r="T13" s="1969"/>
      <c r="U13" s="1970"/>
      <c r="V13" s="537"/>
      <c r="W13" s="537"/>
      <c r="X13" s="537"/>
    </row>
    <row r="14" spans="1:27" ht="15" customHeight="1" thickBot="1" x14ac:dyDescent="0.25">
      <c r="A14" s="905" t="s">
        <v>17</v>
      </c>
      <c r="B14" s="906" t="s">
        <v>17</v>
      </c>
      <c r="C14" s="2118" t="s">
        <v>605</v>
      </c>
      <c r="D14" s="2119"/>
      <c r="E14" s="2119"/>
      <c r="F14" s="2119"/>
      <c r="G14" s="2119"/>
      <c r="H14" s="2119"/>
      <c r="I14" s="2119"/>
      <c r="J14" s="2119"/>
      <c r="K14" s="2119"/>
      <c r="L14" s="2119"/>
      <c r="M14" s="2119"/>
      <c r="N14" s="2119"/>
      <c r="O14" s="2119"/>
      <c r="P14" s="2119"/>
      <c r="Q14" s="2119"/>
      <c r="R14" s="2119"/>
      <c r="S14" s="2119"/>
      <c r="T14" s="2119"/>
      <c r="U14" s="2120"/>
    </row>
    <row r="15" spans="1:27" ht="14.25" customHeight="1" x14ac:dyDescent="0.2">
      <c r="A15" s="1357" t="s">
        <v>17</v>
      </c>
      <c r="B15" s="1360" t="s">
        <v>17</v>
      </c>
      <c r="C15" s="1945" t="s">
        <v>17</v>
      </c>
      <c r="D15" s="2040" t="s">
        <v>606</v>
      </c>
      <c r="E15" s="2042" t="s">
        <v>607</v>
      </c>
      <c r="F15" s="2110" t="s">
        <v>41</v>
      </c>
      <c r="G15" s="2112" t="s">
        <v>413</v>
      </c>
      <c r="H15" s="2115">
        <v>278</v>
      </c>
      <c r="I15" s="1713">
        <v>278</v>
      </c>
      <c r="J15" s="2103"/>
      <c r="K15" s="2116"/>
      <c r="L15" s="2102">
        <v>278</v>
      </c>
      <c r="M15" s="2103">
        <v>278</v>
      </c>
      <c r="N15" s="2104"/>
      <c r="O15" s="2106"/>
      <c r="P15" s="2108">
        <v>309</v>
      </c>
      <c r="Q15" s="2108">
        <v>580</v>
      </c>
      <c r="R15" s="2099" t="s">
        <v>608</v>
      </c>
      <c r="S15" s="425">
        <v>25.7</v>
      </c>
      <c r="T15" s="426">
        <v>25.66</v>
      </c>
      <c r="U15" s="2069" t="s">
        <v>609</v>
      </c>
    </row>
    <row r="16" spans="1:27" ht="12.75" customHeight="1" x14ac:dyDescent="0.2">
      <c r="A16" s="1140"/>
      <c r="B16" s="1141"/>
      <c r="C16" s="1142"/>
      <c r="D16" s="1301"/>
      <c r="E16" s="2028"/>
      <c r="F16" s="2111"/>
      <c r="G16" s="2113"/>
      <c r="H16" s="2052"/>
      <c r="I16" s="1687"/>
      <c r="J16" s="1390"/>
      <c r="K16" s="1377"/>
      <c r="L16" s="1389"/>
      <c r="M16" s="1390"/>
      <c r="N16" s="2105"/>
      <c r="O16" s="2107"/>
      <c r="P16" s="2109"/>
      <c r="Q16" s="2109"/>
      <c r="R16" s="2100"/>
      <c r="S16" s="907">
        <f>SUM(S15)</f>
        <v>25.7</v>
      </c>
      <c r="T16" s="908">
        <f>SUM(T15)</f>
        <v>25.66</v>
      </c>
      <c r="U16" s="1999"/>
    </row>
    <row r="17" spans="1:21" ht="30" customHeight="1" x14ac:dyDescent="0.2">
      <c r="A17" s="1140"/>
      <c r="B17" s="1141"/>
      <c r="C17" s="1142"/>
      <c r="D17" s="1301"/>
      <c r="E17" s="2028"/>
      <c r="F17" s="2111"/>
      <c r="G17" s="2113"/>
      <c r="H17" s="2052"/>
      <c r="I17" s="1687"/>
      <c r="J17" s="1390"/>
      <c r="K17" s="1377"/>
      <c r="L17" s="1389"/>
      <c r="M17" s="1390"/>
      <c r="N17" s="2105"/>
      <c r="O17" s="2107"/>
      <c r="P17" s="2109"/>
      <c r="Q17" s="2109"/>
      <c r="R17" s="2099" t="s">
        <v>610</v>
      </c>
      <c r="S17" s="889">
        <v>14</v>
      </c>
      <c r="T17" s="890">
        <v>14</v>
      </c>
      <c r="U17" s="1999"/>
    </row>
    <row r="18" spans="1:21" ht="15" customHeight="1" x14ac:dyDescent="0.2">
      <c r="A18" s="1140"/>
      <c r="B18" s="1141"/>
      <c r="C18" s="1142"/>
      <c r="D18" s="1301"/>
      <c r="E18" s="2028"/>
      <c r="F18" s="2111"/>
      <c r="G18" s="2113"/>
      <c r="H18" s="2052"/>
      <c r="I18" s="1687"/>
      <c r="J18" s="1390"/>
      <c r="K18" s="1377"/>
      <c r="L18" s="1389"/>
      <c r="M18" s="1390"/>
      <c r="N18" s="2105"/>
      <c r="O18" s="2107"/>
      <c r="P18" s="2109"/>
      <c r="Q18" s="2109"/>
      <c r="R18" s="2100"/>
      <c r="S18" s="907">
        <f>SUM(S17)</f>
        <v>14</v>
      </c>
      <c r="T18" s="908">
        <f>SUM(T17)</f>
        <v>14</v>
      </c>
      <c r="U18" s="1999"/>
    </row>
    <row r="19" spans="1:21" ht="18.75" customHeight="1" x14ac:dyDescent="0.2">
      <c r="A19" s="1140"/>
      <c r="B19" s="1141"/>
      <c r="C19" s="1142"/>
      <c r="D19" s="1301"/>
      <c r="E19" s="2028"/>
      <c r="F19" s="2111"/>
      <c r="G19" s="2113"/>
      <c r="H19" s="2052"/>
      <c r="I19" s="1687"/>
      <c r="J19" s="1390"/>
      <c r="K19" s="1377"/>
      <c r="L19" s="1389"/>
      <c r="M19" s="1390"/>
      <c r="N19" s="2105"/>
      <c r="O19" s="2107"/>
      <c r="P19" s="2109"/>
      <c r="Q19" s="2109"/>
      <c r="R19" s="2099" t="s">
        <v>611</v>
      </c>
      <c r="S19" s="884">
        <v>95</v>
      </c>
      <c r="T19" s="882">
        <v>95</v>
      </c>
      <c r="U19" s="1999"/>
    </row>
    <row r="20" spans="1:21" ht="16.5" customHeight="1" x14ac:dyDescent="0.2">
      <c r="A20" s="1140"/>
      <c r="B20" s="1141"/>
      <c r="C20" s="1142"/>
      <c r="D20" s="1301"/>
      <c r="E20" s="2028"/>
      <c r="F20" s="2111"/>
      <c r="G20" s="2113"/>
      <c r="H20" s="2052"/>
      <c r="I20" s="1687"/>
      <c r="J20" s="1390"/>
      <c r="K20" s="1377"/>
      <c r="L20" s="1389"/>
      <c r="M20" s="1390"/>
      <c r="N20" s="2105"/>
      <c r="O20" s="2107"/>
      <c r="P20" s="2109"/>
      <c r="Q20" s="2109"/>
      <c r="R20" s="2100"/>
      <c r="S20" s="907">
        <f>SUM(S19)</f>
        <v>95</v>
      </c>
      <c r="T20" s="908">
        <f>SUM(T19)</f>
        <v>95</v>
      </c>
      <c r="U20" s="1999"/>
    </row>
    <row r="21" spans="1:21" ht="14.25" customHeight="1" x14ac:dyDescent="0.2">
      <c r="A21" s="1140"/>
      <c r="B21" s="1141"/>
      <c r="C21" s="1142"/>
      <c r="D21" s="1301"/>
      <c r="E21" s="2028"/>
      <c r="F21" s="2111"/>
      <c r="G21" s="2114"/>
      <c r="H21" s="2052"/>
      <c r="I21" s="1687"/>
      <c r="J21" s="1390"/>
      <c r="K21" s="1377"/>
      <c r="L21" s="1389"/>
      <c r="M21" s="1390"/>
      <c r="N21" s="2105"/>
      <c r="O21" s="2107"/>
      <c r="P21" s="2109"/>
      <c r="Q21" s="2109"/>
      <c r="R21" s="2101" t="s">
        <v>612</v>
      </c>
      <c r="S21" s="884"/>
      <c r="T21" s="886"/>
      <c r="U21" s="1999"/>
    </row>
    <row r="22" spans="1:21" ht="14.25" customHeight="1" x14ac:dyDescent="0.2">
      <c r="A22" s="1123"/>
      <c r="B22" s="1125"/>
      <c r="C22" s="1127"/>
      <c r="D22" s="1302"/>
      <c r="E22" s="2018"/>
      <c r="F22" s="2092"/>
      <c r="G22" s="279" t="s">
        <v>13</v>
      </c>
      <c r="H22" s="287">
        <f>SUM(H15)</f>
        <v>278</v>
      </c>
      <c r="I22" s="288">
        <f>SUM(I15)</f>
        <v>278</v>
      </c>
      <c r="J22" s="288">
        <f t="shared" ref="J22:O22" si="0">SUM(J15)</f>
        <v>0</v>
      </c>
      <c r="K22" s="289">
        <f t="shared" si="0"/>
        <v>0</v>
      </c>
      <c r="L22" s="287">
        <f>SUM(L15)</f>
        <v>278</v>
      </c>
      <c r="M22" s="288">
        <f t="shared" si="0"/>
        <v>278</v>
      </c>
      <c r="N22" s="288">
        <f t="shared" si="0"/>
        <v>0</v>
      </c>
      <c r="O22" s="289">
        <f t="shared" si="0"/>
        <v>0</v>
      </c>
      <c r="P22" s="567">
        <f>SUM(P15)</f>
        <v>309</v>
      </c>
      <c r="Q22" s="567">
        <f>SUM(Q15)</f>
        <v>580</v>
      </c>
      <c r="R22" s="1333"/>
      <c r="S22" s="287">
        <f>SUM(S21)</f>
        <v>0</v>
      </c>
      <c r="T22" s="288">
        <f>SUM(T21)</f>
        <v>0</v>
      </c>
      <c r="U22" s="1999"/>
    </row>
    <row r="23" spans="1:21" ht="17.25" customHeight="1" x14ac:dyDescent="0.2">
      <c r="A23" s="1123" t="s">
        <v>17</v>
      </c>
      <c r="B23" s="1125" t="s">
        <v>17</v>
      </c>
      <c r="C23" s="1127" t="s">
        <v>18</v>
      </c>
      <c r="D23" s="1302" t="s">
        <v>613</v>
      </c>
      <c r="E23" s="2018" t="s">
        <v>607</v>
      </c>
      <c r="F23" s="2092" t="s">
        <v>41</v>
      </c>
      <c r="G23" s="894" t="s">
        <v>413</v>
      </c>
      <c r="H23" s="191">
        <v>20</v>
      </c>
      <c r="I23" s="875">
        <v>20</v>
      </c>
      <c r="J23" s="875"/>
      <c r="K23" s="876"/>
      <c r="L23" s="191">
        <v>20</v>
      </c>
      <c r="M23" s="875">
        <v>20</v>
      </c>
      <c r="N23" s="875"/>
      <c r="O23" s="876"/>
      <c r="P23" s="14">
        <v>20</v>
      </c>
      <c r="Q23" s="14">
        <v>20</v>
      </c>
      <c r="R23" s="2096" t="s">
        <v>614</v>
      </c>
      <c r="S23" s="889">
        <v>2</v>
      </c>
      <c r="T23" s="890">
        <v>2</v>
      </c>
      <c r="U23" s="2098" t="s">
        <v>609</v>
      </c>
    </row>
    <row r="24" spans="1:21" ht="18" customHeight="1" x14ac:dyDescent="0.2">
      <c r="A24" s="1124"/>
      <c r="B24" s="1126"/>
      <c r="C24" s="1128"/>
      <c r="D24" s="1381"/>
      <c r="E24" s="2055"/>
      <c r="F24" s="2093"/>
      <c r="G24" s="392" t="s">
        <v>13</v>
      </c>
      <c r="H24" s="39">
        <v>20</v>
      </c>
      <c r="I24" s="40">
        <v>20</v>
      </c>
      <c r="J24" s="40">
        <f t="shared" ref="J24:Q24" si="1">SUM(J23)</f>
        <v>0</v>
      </c>
      <c r="K24" s="42">
        <f t="shared" si="1"/>
        <v>0</v>
      </c>
      <c r="L24" s="39">
        <f t="shared" si="1"/>
        <v>20</v>
      </c>
      <c r="M24" s="40">
        <f t="shared" si="1"/>
        <v>20</v>
      </c>
      <c r="N24" s="40">
        <f t="shared" si="1"/>
        <v>0</v>
      </c>
      <c r="O24" s="42">
        <f t="shared" si="1"/>
        <v>0</v>
      </c>
      <c r="P24" s="43">
        <f t="shared" si="1"/>
        <v>20</v>
      </c>
      <c r="Q24" s="43">
        <f t="shared" si="1"/>
        <v>20</v>
      </c>
      <c r="R24" s="2097"/>
      <c r="S24" s="608">
        <f>SUM(S23)</f>
        <v>2</v>
      </c>
      <c r="T24" s="614">
        <f>SUM(T23)</f>
        <v>2</v>
      </c>
      <c r="U24" s="2098"/>
    </row>
    <row r="25" spans="1:21" ht="24.75" customHeight="1" x14ac:dyDescent="0.2">
      <c r="A25" s="1123" t="s">
        <v>17</v>
      </c>
      <c r="B25" s="1125" t="s">
        <v>17</v>
      </c>
      <c r="C25" s="1127" t="s">
        <v>19</v>
      </c>
      <c r="D25" s="1302" t="s">
        <v>615</v>
      </c>
      <c r="E25" s="2018" t="s">
        <v>607</v>
      </c>
      <c r="F25" s="2092" t="s">
        <v>41</v>
      </c>
      <c r="G25" s="894" t="s">
        <v>224</v>
      </c>
      <c r="H25" s="191">
        <v>10</v>
      </c>
      <c r="I25" s="875">
        <v>10</v>
      </c>
      <c r="J25" s="875"/>
      <c r="K25" s="876"/>
      <c r="L25" s="191">
        <v>10</v>
      </c>
      <c r="M25" s="875">
        <v>10</v>
      </c>
      <c r="N25" s="875"/>
      <c r="O25" s="876"/>
      <c r="P25" s="14">
        <v>15</v>
      </c>
      <c r="Q25" s="14">
        <v>15</v>
      </c>
      <c r="R25" s="2096" t="s">
        <v>616</v>
      </c>
      <c r="S25" s="889">
        <v>100</v>
      </c>
      <c r="T25" s="890">
        <v>100</v>
      </c>
      <c r="U25" s="1288"/>
    </row>
    <row r="26" spans="1:21" ht="18" customHeight="1" x14ac:dyDescent="0.2">
      <c r="A26" s="1847"/>
      <c r="B26" s="1889"/>
      <c r="C26" s="1128"/>
      <c r="D26" s="1381"/>
      <c r="E26" s="2055"/>
      <c r="F26" s="2093"/>
      <c r="G26" s="392" t="s">
        <v>13</v>
      </c>
      <c r="H26" s="39">
        <f t="shared" ref="H26:Q26" si="2">SUM(H25)</f>
        <v>10</v>
      </c>
      <c r="I26" s="40">
        <f t="shared" si="2"/>
        <v>10</v>
      </c>
      <c r="J26" s="40">
        <f t="shared" si="2"/>
        <v>0</v>
      </c>
      <c r="K26" s="42">
        <f t="shared" si="2"/>
        <v>0</v>
      </c>
      <c r="L26" s="39">
        <f t="shared" si="2"/>
        <v>10</v>
      </c>
      <c r="M26" s="40">
        <f t="shared" si="2"/>
        <v>10</v>
      </c>
      <c r="N26" s="40">
        <f t="shared" si="2"/>
        <v>0</v>
      </c>
      <c r="O26" s="42">
        <f t="shared" si="2"/>
        <v>0</v>
      </c>
      <c r="P26" s="43">
        <f t="shared" si="2"/>
        <v>15</v>
      </c>
      <c r="Q26" s="43">
        <f t="shared" si="2"/>
        <v>15</v>
      </c>
      <c r="R26" s="2097"/>
      <c r="S26" s="608">
        <f>SUM(S25)</f>
        <v>100</v>
      </c>
      <c r="T26" s="614">
        <f>SUM(T25)</f>
        <v>100</v>
      </c>
      <c r="U26" s="1407"/>
    </row>
    <row r="27" spans="1:21" ht="18" customHeight="1" x14ac:dyDescent="0.2">
      <c r="A27" s="1124" t="s">
        <v>17</v>
      </c>
      <c r="B27" s="1126" t="s">
        <v>17</v>
      </c>
      <c r="C27" s="1127" t="s">
        <v>20</v>
      </c>
      <c r="D27" s="2091" t="s">
        <v>617</v>
      </c>
      <c r="E27" s="2018" t="s">
        <v>607</v>
      </c>
      <c r="F27" s="2092" t="s">
        <v>618</v>
      </c>
      <c r="G27" s="909" t="s">
        <v>224</v>
      </c>
      <c r="H27" s="910">
        <v>10</v>
      </c>
      <c r="I27" s="911">
        <v>10</v>
      </c>
      <c r="J27" s="911">
        <v>0</v>
      </c>
      <c r="K27" s="912">
        <v>0</v>
      </c>
      <c r="L27" s="910">
        <v>10</v>
      </c>
      <c r="M27" s="911">
        <v>10</v>
      </c>
      <c r="N27" s="911">
        <v>0</v>
      </c>
      <c r="O27" s="912">
        <v>0</v>
      </c>
      <c r="P27" s="913">
        <v>46122.22</v>
      </c>
      <c r="Q27" s="913">
        <v>0</v>
      </c>
      <c r="R27" s="2094" t="s">
        <v>619</v>
      </c>
      <c r="S27" s="914">
        <v>3</v>
      </c>
      <c r="T27" s="915">
        <v>3</v>
      </c>
      <c r="U27" s="916"/>
    </row>
    <row r="28" spans="1:21" ht="18" customHeight="1" thickBot="1" x14ac:dyDescent="0.25">
      <c r="A28" s="1148"/>
      <c r="B28" s="1149"/>
      <c r="C28" s="1128"/>
      <c r="D28" s="1892"/>
      <c r="E28" s="2055"/>
      <c r="F28" s="2093"/>
      <c r="G28" s="917" t="s">
        <v>13</v>
      </c>
      <c r="H28" s="55">
        <f t="shared" ref="H28:M28" si="3">SUM(H27)</f>
        <v>10</v>
      </c>
      <c r="I28" s="106">
        <f t="shared" si="3"/>
        <v>10</v>
      </c>
      <c r="J28" s="40">
        <f t="shared" si="3"/>
        <v>0</v>
      </c>
      <c r="K28" s="107">
        <f t="shared" si="3"/>
        <v>0</v>
      </c>
      <c r="L28" s="114">
        <f t="shared" si="3"/>
        <v>10</v>
      </c>
      <c r="M28" s="40">
        <f t="shared" si="3"/>
        <v>10</v>
      </c>
      <c r="N28" s="106">
        <v>0</v>
      </c>
      <c r="O28" s="42">
        <v>0</v>
      </c>
      <c r="P28" s="43">
        <f>SUM(P27)</f>
        <v>46122.22</v>
      </c>
      <c r="Q28" s="43">
        <f>SUM(Q27)</f>
        <v>0</v>
      </c>
      <c r="R28" s="2095"/>
      <c r="S28" s="711">
        <v>3</v>
      </c>
      <c r="T28" s="614">
        <v>3</v>
      </c>
      <c r="U28" s="918"/>
    </row>
    <row r="29" spans="1:21" ht="14.25" customHeight="1" thickBot="1" x14ac:dyDescent="0.25">
      <c r="A29" s="663" t="s">
        <v>17</v>
      </c>
      <c r="B29" s="891" t="s">
        <v>17</v>
      </c>
      <c r="C29" s="1115" t="s">
        <v>14</v>
      </c>
      <c r="D29" s="1461"/>
      <c r="E29" s="1461"/>
      <c r="F29" s="1461"/>
      <c r="G29" s="1462"/>
      <c r="H29" s="45">
        <f t="shared" ref="H29:Q29" si="4">SUM(H22,H24,H26)</f>
        <v>308</v>
      </c>
      <c r="I29" s="877">
        <f t="shared" si="4"/>
        <v>308</v>
      </c>
      <c r="J29" s="880">
        <f t="shared" si="4"/>
        <v>0</v>
      </c>
      <c r="K29" s="68">
        <f t="shared" si="4"/>
        <v>0</v>
      </c>
      <c r="L29" s="919">
        <f t="shared" si="4"/>
        <v>308</v>
      </c>
      <c r="M29" s="880">
        <f t="shared" si="4"/>
        <v>308</v>
      </c>
      <c r="N29" s="877">
        <f t="shared" si="4"/>
        <v>0</v>
      </c>
      <c r="O29" s="46">
        <f t="shared" si="4"/>
        <v>0</v>
      </c>
      <c r="P29" s="71">
        <f t="shared" si="4"/>
        <v>344</v>
      </c>
      <c r="Q29" s="59">
        <f t="shared" si="4"/>
        <v>615</v>
      </c>
      <c r="R29" s="811" t="s">
        <v>23</v>
      </c>
      <c r="S29" s="920" t="s">
        <v>23</v>
      </c>
      <c r="T29" s="811" t="s">
        <v>23</v>
      </c>
      <c r="U29" s="811" t="s">
        <v>23</v>
      </c>
    </row>
    <row r="30" spans="1:21" ht="13.5" customHeight="1" thickBot="1" x14ac:dyDescent="0.25">
      <c r="A30" s="921">
        <v>1</v>
      </c>
      <c r="B30" s="922">
        <v>2</v>
      </c>
      <c r="C30" s="2032" t="s">
        <v>620</v>
      </c>
      <c r="D30" s="2033"/>
      <c r="E30" s="2033"/>
      <c r="F30" s="2033"/>
      <c r="G30" s="2033"/>
      <c r="H30" s="2034"/>
      <c r="I30" s="2034"/>
      <c r="J30" s="2034"/>
      <c r="K30" s="2034"/>
      <c r="L30" s="2034"/>
      <c r="M30" s="2034"/>
      <c r="N30" s="2034"/>
      <c r="O30" s="2034"/>
      <c r="P30" s="2034"/>
      <c r="Q30" s="2034"/>
      <c r="R30" s="2033"/>
      <c r="S30" s="2033"/>
      <c r="T30" s="2033"/>
      <c r="U30" s="2087"/>
    </row>
    <row r="31" spans="1:21" ht="27" customHeight="1" x14ac:dyDescent="0.2">
      <c r="A31" s="2014">
        <v>1</v>
      </c>
      <c r="B31" s="2002">
        <v>2</v>
      </c>
      <c r="C31" s="1415">
        <v>1</v>
      </c>
      <c r="D31" s="2088" t="s">
        <v>621</v>
      </c>
      <c r="E31" s="2055" t="s">
        <v>622</v>
      </c>
      <c r="F31" s="2056">
        <v>1</v>
      </c>
      <c r="G31" s="894" t="s">
        <v>224</v>
      </c>
      <c r="H31" s="11">
        <v>28.4</v>
      </c>
      <c r="I31" s="878">
        <v>28.4</v>
      </c>
      <c r="J31" s="881"/>
      <c r="K31" s="923"/>
      <c r="L31" s="11">
        <v>23</v>
      </c>
      <c r="M31" s="878">
        <v>23</v>
      </c>
      <c r="N31" s="878">
        <v>0</v>
      </c>
      <c r="O31" s="879">
        <v>0</v>
      </c>
      <c r="P31" s="924">
        <v>100</v>
      </c>
      <c r="Q31" s="924">
        <v>100</v>
      </c>
      <c r="R31" s="2089" t="s">
        <v>623</v>
      </c>
      <c r="S31" s="892">
        <v>45</v>
      </c>
      <c r="T31" s="893">
        <v>13</v>
      </c>
      <c r="U31" s="2069" t="s">
        <v>655</v>
      </c>
    </row>
    <row r="32" spans="1:21" ht="18.75" customHeight="1" x14ac:dyDescent="0.2">
      <c r="A32" s="2024"/>
      <c r="B32" s="2025"/>
      <c r="C32" s="2031"/>
      <c r="D32" s="2026"/>
      <c r="E32" s="2028"/>
      <c r="F32" s="2067"/>
      <c r="G32" s="925" t="s">
        <v>624</v>
      </c>
      <c r="H32" s="28">
        <f>SUM(H31)</f>
        <v>28.4</v>
      </c>
      <c r="I32" s="26">
        <f>SUM(I31)</f>
        <v>28.4</v>
      </c>
      <c r="J32" s="26">
        <f t="shared" ref="J32:Q32" si="5">SUM(J31)</f>
        <v>0</v>
      </c>
      <c r="K32" s="31">
        <f t="shared" si="5"/>
        <v>0</v>
      </c>
      <c r="L32" s="28">
        <f>SUM(L31)</f>
        <v>23</v>
      </c>
      <c r="M32" s="26">
        <f>SUM(M31)</f>
        <v>23</v>
      </c>
      <c r="N32" s="26">
        <f t="shared" si="5"/>
        <v>0</v>
      </c>
      <c r="O32" s="31">
        <f t="shared" si="5"/>
        <v>0</v>
      </c>
      <c r="P32" s="32">
        <f t="shared" si="5"/>
        <v>100</v>
      </c>
      <c r="Q32" s="32">
        <f t="shared" si="5"/>
        <v>100</v>
      </c>
      <c r="R32" s="2090"/>
      <c r="S32" s="287">
        <f>SUM(S31)</f>
        <v>45</v>
      </c>
      <c r="T32" s="288">
        <f>SUM(T31)</f>
        <v>13</v>
      </c>
      <c r="U32" s="2059"/>
    </row>
    <row r="33" spans="1:30" ht="25.5" customHeight="1" x14ac:dyDescent="0.2">
      <c r="A33" s="2014">
        <v>1</v>
      </c>
      <c r="B33" s="2002">
        <v>2</v>
      </c>
      <c r="C33" s="1415">
        <v>2</v>
      </c>
      <c r="D33" s="1381" t="s">
        <v>625</v>
      </c>
      <c r="E33" s="2055" t="s">
        <v>626</v>
      </c>
      <c r="F33" s="2056">
        <v>1</v>
      </c>
      <c r="G33" s="894" t="s">
        <v>224</v>
      </c>
      <c r="H33" s="191">
        <v>38.4</v>
      </c>
      <c r="I33" s="875">
        <v>38.4</v>
      </c>
      <c r="J33" s="875">
        <v>28.5</v>
      </c>
      <c r="K33" s="876"/>
      <c r="L33" s="191">
        <v>35.799999999999997</v>
      </c>
      <c r="M33" s="875">
        <v>35.799999999999997</v>
      </c>
      <c r="N33" s="875">
        <v>35.799999999999997</v>
      </c>
      <c r="O33" s="876"/>
      <c r="P33" s="926">
        <v>30</v>
      </c>
      <c r="Q33" s="926">
        <v>30</v>
      </c>
      <c r="R33" s="2072" t="s">
        <v>627</v>
      </c>
      <c r="S33" s="883">
        <v>600</v>
      </c>
      <c r="T33" s="885">
        <v>620</v>
      </c>
      <c r="U33" s="1998" t="s">
        <v>609</v>
      </c>
      <c r="W33" s="927"/>
      <c r="X33" s="927"/>
      <c r="Y33" s="927"/>
      <c r="Z33" s="927"/>
      <c r="AA33" s="927"/>
      <c r="AB33" s="927"/>
      <c r="AC33" s="537"/>
      <c r="AD33" s="537"/>
    </row>
    <row r="34" spans="1:30" ht="18.75" customHeight="1" thickBot="1" x14ac:dyDescent="0.25">
      <c r="A34" s="2082"/>
      <c r="B34" s="2083"/>
      <c r="C34" s="2084"/>
      <c r="D34" s="1382"/>
      <c r="E34" s="2085"/>
      <c r="F34" s="2086"/>
      <c r="G34" s="925" t="s">
        <v>624</v>
      </c>
      <c r="H34" s="39">
        <f>SUM(H33)</f>
        <v>38.4</v>
      </c>
      <c r="I34" s="40">
        <f t="shared" ref="I34:Q34" si="6">SUM(I33)</f>
        <v>38.4</v>
      </c>
      <c r="J34" s="40">
        <f t="shared" si="6"/>
        <v>28.5</v>
      </c>
      <c r="K34" s="42">
        <f t="shared" si="6"/>
        <v>0</v>
      </c>
      <c r="L34" s="39">
        <f>SUM(L33)</f>
        <v>35.799999999999997</v>
      </c>
      <c r="M34" s="40">
        <f>SUM(M33)</f>
        <v>35.799999999999997</v>
      </c>
      <c r="N34" s="40">
        <f t="shared" si="6"/>
        <v>35.799999999999997</v>
      </c>
      <c r="O34" s="42">
        <f t="shared" si="6"/>
        <v>0</v>
      </c>
      <c r="P34" s="43">
        <f t="shared" si="6"/>
        <v>30</v>
      </c>
      <c r="Q34" s="43">
        <f t="shared" si="6"/>
        <v>30</v>
      </c>
      <c r="R34" s="2072"/>
      <c r="S34" s="608">
        <f>SUM(S33)</f>
        <v>600</v>
      </c>
      <c r="T34" s="614">
        <f>SUM(T33)</f>
        <v>620</v>
      </c>
      <c r="U34" s="2073"/>
    </row>
    <row r="35" spans="1:30" ht="15" customHeight="1" thickBot="1" x14ac:dyDescent="0.25">
      <c r="A35" s="663" t="s">
        <v>17</v>
      </c>
      <c r="B35" s="891" t="s">
        <v>18</v>
      </c>
      <c r="C35" s="1115" t="s">
        <v>14</v>
      </c>
      <c r="D35" s="1461"/>
      <c r="E35" s="1461"/>
      <c r="F35" s="1461"/>
      <c r="G35" s="1461"/>
      <c r="H35" s="45">
        <f>SUM(H34,H32)</f>
        <v>66.8</v>
      </c>
      <c r="I35" s="880">
        <f t="shared" ref="I35:Q35" si="7">SUM(I34,I32)</f>
        <v>66.8</v>
      </c>
      <c r="J35" s="880">
        <f t="shared" si="7"/>
        <v>28.5</v>
      </c>
      <c r="K35" s="46">
        <f t="shared" si="7"/>
        <v>0</v>
      </c>
      <c r="L35" s="45">
        <f t="shared" si="7"/>
        <v>58.8</v>
      </c>
      <c r="M35" s="880">
        <f t="shared" si="7"/>
        <v>58.8</v>
      </c>
      <c r="N35" s="880">
        <f t="shared" si="7"/>
        <v>35.799999999999997</v>
      </c>
      <c r="O35" s="46">
        <f t="shared" si="7"/>
        <v>0</v>
      </c>
      <c r="P35" s="71">
        <f t="shared" si="7"/>
        <v>130</v>
      </c>
      <c r="Q35" s="71">
        <f t="shared" si="7"/>
        <v>130</v>
      </c>
      <c r="R35" s="818" t="s">
        <v>23</v>
      </c>
      <c r="S35" s="812" t="s">
        <v>23</v>
      </c>
      <c r="T35" s="928" t="s">
        <v>23</v>
      </c>
      <c r="U35" s="814" t="s">
        <v>23</v>
      </c>
    </row>
    <row r="36" spans="1:30" ht="12.75" customHeight="1" thickBot="1" x14ac:dyDescent="0.25">
      <c r="A36" s="663" t="s">
        <v>17</v>
      </c>
      <c r="B36" s="2074" t="s">
        <v>15</v>
      </c>
      <c r="C36" s="2074"/>
      <c r="D36" s="2074"/>
      <c r="E36" s="2074"/>
      <c r="F36" s="2074"/>
      <c r="G36" s="1463"/>
      <c r="H36" s="9">
        <f>SUM(H35,H29)</f>
        <v>374.8</v>
      </c>
      <c r="I36" s="929">
        <f t="shared" ref="I36:Q36" si="8">SUM(I35,I29)</f>
        <v>374.8</v>
      </c>
      <c r="J36" s="929">
        <f t="shared" si="8"/>
        <v>28.5</v>
      </c>
      <c r="K36" s="930">
        <f t="shared" si="8"/>
        <v>0</v>
      </c>
      <c r="L36" s="9">
        <f t="shared" si="8"/>
        <v>366.8</v>
      </c>
      <c r="M36" s="929">
        <f t="shared" si="8"/>
        <v>366.8</v>
      </c>
      <c r="N36" s="929">
        <f t="shared" si="8"/>
        <v>35.799999999999997</v>
      </c>
      <c r="O36" s="930">
        <f t="shared" si="8"/>
        <v>0</v>
      </c>
      <c r="P36" s="931">
        <f t="shared" si="8"/>
        <v>474</v>
      </c>
      <c r="Q36" s="931">
        <f t="shared" si="8"/>
        <v>745</v>
      </c>
      <c r="R36" s="718" t="s">
        <v>23</v>
      </c>
      <c r="S36" s="472" t="s">
        <v>23</v>
      </c>
      <c r="T36" s="473" t="s">
        <v>23</v>
      </c>
      <c r="U36" s="474" t="s">
        <v>23</v>
      </c>
    </row>
    <row r="37" spans="1:30" ht="15" customHeight="1" thickBot="1" x14ac:dyDescent="0.25">
      <c r="A37" s="932">
        <v>2</v>
      </c>
      <c r="B37" s="2075" t="s">
        <v>628</v>
      </c>
      <c r="C37" s="2076"/>
      <c r="D37" s="2076"/>
      <c r="E37" s="2076"/>
      <c r="F37" s="2076"/>
      <c r="G37" s="2076"/>
      <c r="H37" s="2076"/>
      <c r="I37" s="2076"/>
      <c r="J37" s="2076"/>
      <c r="K37" s="2076"/>
      <c r="L37" s="2076"/>
      <c r="M37" s="2076"/>
      <c r="N37" s="2076"/>
      <c r="O37" s="2076"/>
      <c r="P37" s="2076"/>
      <c r="Q37" s="2076"/>
      <c r="R37" s="2076"/>
      <c r="S37" s="2076"/>
      <c r="T37" s="2076"/>
      <c r="U37" s="2077"/>
      <c r="V37" s="537"/>
      <c r="W37" s="537"/>
      <c r="X37" s="537"/>
      <c r="Y37" s="537"/>
    </row>
    <row r="38" spans="1:30" ht="14.25" customHeight="1" thickBot="1" x14ac:dyDescent="0.25">
      <c r="A38" s="933">
        <v>2</v>
      </c>
      <c r="B38" s="813">
        <v>1</v>
      </c>
      <c r="C38" s="2078" t="s">
        <v>629</v>
      </c>
      <c r="D38" s="2079"/>
      <c r="E38" s="2079"/>
      <c r="F38" s="2079"/>
      <c r="G38" s="2079"/>
      <c r="H38" s="2080"/>
      <c r="I38" s="2080"/>
      <c r="J38" s="2080"/>
      <c r="K38" s="2080"/>
      <c r="L38" s="2080"/>
      <c r="M38" s="2080"/>
      <c r="N38" s="2080"/>
      <c r="O38" s="2080"/>
      <c r="P38" s="2080"/>
      <c r="Q38" s="2080"/>
      <c r="R38" s="2080"/>
      <c r="S38" s="2080"/>
      <c r="T38" s="2080"/>
      <c r="U38" s="2081"/>
      <c r="V38" s="537"/>
      <c r="W38" s="537"/>
      <c r="X38" s="537"/>
    </row>
    <row r="39" spans="1:30" ht="20.25" customHeight="1" x14ac:dyDescent="0.2">
      <c r="A39" s="2036">
        <v>2</v>
      </c>
      <c r="B39" s="2037">
        <v>1</v>
      </c>
      <c r="C39" s="2039">
        <v>1</v>
      </c>
      <c r="D39" s="2040" t="s">
        <v>630</v>
      </c>
      <c r="E39" s="2070" t="s">
        <v>631</v>
      </c>
      <c r="F39" s="2071" t="s">
        <v>430</v>
      </c>
      <c r="G39" s="934" t="s">
        <v>224</v>
      </c>
      <c r="H39" s="11">
        <v>100.6</v>
      </c>
      <c r="I39" s="878">
        <v>83.9</v>
      </c>
      <c r="J39" s="878"/>
      <c r="K39" s="879">
        <v>16.7</v>
      </c>
      <c r="L39" s="878">
        <v>100.6</v>
      </c>
      <c r="M39" s="878">
        <v>83.9</v>
      </c>
      <c r="N39" s="878"/>
      <c r="O39" s="879">
        <v>16.7</v>
      </c>
      <c r="P39" s="12">
        <v>107.3</v>
      </c>
      <c r="Q39" s="12">
        <v>123</v>
      </c>
      <c r="R39" s="2022" t="s">
        <v>632</v>
      </c>
      <c r="S39" s="425">
        <v>160.38</v>
      </c>
      <c r="T39" s="426">
        <v>160.4</v>
      </c>
      <c r="U39" s="2069" t="s">
        <v>609</v>
      </c>
      <c r="W39" s="549">
        <f>H42+H44+H46+H48+H50+H52+H54+H56</f>
        <v>74767</v>
      </c>
      <c r="X39" s="549">
        <f>I42+I44+I46+I48+I50+I52+I54+I56</f>
        <v>74767</v>
      </c>
      <c r="Y39" s="549">
        <f>J42+J44+J46+J48+J50+J52+J54+J56</f>
        <v>0</v>
      </c>
      <c r="Z39" s="549">
        <f>K42+K44+K46+K48+K50+K52+K54+K56</f>
        <v>0</v>
      </c>
      <c r="AB39" s="725">
        <f>P42+P44+P46+P48+P50+P52+P54+P56</f>
        <v>90749</v>
      </c>
      <c r="AC39" s="549">
        <f>Q42+Q44+Q46+Q48+Q50+Q52+Q54+Q56</f>
        <v>94057</v>
      </c>
    </row>
    <row r="40" spans="1:30" ht="15.75" customHeight="1" x14ac:dyDescent="0.2">
      <c r="A40" s="2013"/>
      <c r="B40" s="2062"/>
      <c r="C40" s="2062"/>
      <c r="D40" s="2064"/>
      <c r="E40" s="2066"/>
      <c r="F40" s="2068"/>
      <c r="G40" s="935" t="s">
        <v>624</v>
      </c>
      <c r="H40" s="28">
        <f>SUM(H39)</f>
        <v>100.6</v>
      </c>
      <c r="I40" s="26">
        <f>SUM(I39)</f>
        <v>83.9</v>
      </c>
      <c r="J40" s="26">
        <f t="shared" ref="J40:Q40" si="9">SUM(J39)</f>
        <v>0</v>
      </c>
      <c r="K40" s="31">
        <f t="shared" si="9"/>
        <v>16.7</v>
      </c>
      <c r="L40" s="28">
        <f>SUM(L39)</f>
        <v>100.6</v>
      </c>
      <c r="M40" s="26">
        <f>SUM(M39)</f>
        <v>83.9</v>
      </c>
      <c r="N40" s="26">
        <f t="shared" si="9"/>
        <v>0</v>
      </c>
      <c r="O40" s="31">
        <f t="shared" si="9"/>
        <v>16.7</v>
      </c>
      <c r="P40" s="32">
        <f t="shared" si="9"/>
        <v>107.3</v>
      </c>
      <c r="Q40" s="32">
        <f t="shared" si="9"/>
        <v>123</v>
      </c>
      <c r="R40" s="2022"/>
      <c r="S40" s="287">
        <f>SUM(S39)</f>
        <v>160.38</v>
      </c>
      <c r="T40" s="288">
        <v>160.4</v>
      </c>
      <c r="U40" s="2059"/>
      <c r="W40" s="549">
        <f>S41+S43+S45+S47+S49+S51+S53+S55</f>
        <v>160.38</v>
      </c>
      <c r="X40" s="549">
        <f>T41+T43+T45+T47+T49+T51+T53+T55</f>
        <v>0</v>
      </c>
      <c r="Y40" s="549">
        <f>U41+U43+U45+U47+U49+U51+U53+U55</f>
        <v>160.98000000000002</v>
      </c>
    </row>
    <row r="41" spans="1:30" ht="20.25" hidden="1" customHeight="1" outlineLevel="1" x14ac:dyDescent="0.2">
      <c r="A41" s="2024">
        <v>2</v>
      </c>
      <c r="B41" s="2025">
        <v>1</v>
      </c>
      <c r="C41" s="1142" t="s">
        <v>229</v>
      </c>
      <c r="D41" s="1301" t="s">
        <v>630</v>
      </c>
      <c r="E41" s="2065" t="s">
        <v>631</v>
      </c>
      <c r="F41" s="2067">
        <v>14</v>
      </c>
      <c r="G41" s="936" t="s">
        <v>224</v>
      </c>
      <c r="H41" s="937">
        <v>10137</v>
      </c>
      <c r="I41" s="874">
        <v>10137</v>
      </c>
      <c r="J41" s="874"/>
      <c r="K41" s="873"/>
      <c r="L41" s="937">
        <v>5792</v>
      </c>
      <c r="M41" s="874">
        <v>5792</v>
      </c>
      <c r="N41" s="874"/>
      <c r="O41" s="873"/>
      <c r="P41" s="938">
        <v>12164</v>
      </c>
      <c r="Q41" s="938">
        <v>13380</v>
      </c>
      <c r="R41" s="2022" t="s">
        <v>632</v>
      </c>
      <c r="S41" s="884">
        <v>30.18</v>
      </c>
      <c r="T41" s="886"/>
      <c r="U41" s="887">
        <v>30.18</v>
      </c>
    </row>
    <row r="42" spans="1:30" ht="15.75" hidden="1" customHeight="1" outlineLevel="1" x14ac:dyDescent="0.2">
      <c r="A42" s="2013"/>
      <c r="B42" s="2062"/>
      <c r="C42" s="2063"/>
      <c r="D42" s="2064"/>
      <c r="E42" s="2066"/>
      <c r="F42" s="2068"/>
      <c r="G42" s="935" t="s">
        <v>624</v>
      </c>
      <c r="H42" s="28">
        <f>SUM(H41)</f>
        <v>10137</v>
      </c>
      <c r="I42" s="26">
        <f t="shared" ref="I42:Q42" si="10">SUM(I41)</f>
        <v>10137</v>
      </c>
      <c r="J42" s="26">
        <f t="shared" si="10"/>
        <v>0</v>
      </c>
      <c r="K42" s="31">
        <f t="shared" si="10"/>
        <v>0</v>
      </c>
      <c r="L42" s="28">
        <f t="shared" si="10"/>
        <v>5792</v>
      </c>
      <c r="M42" s="26">
        <f t="shared" si="10"/>
        <v>5792</v>
      </c>
      <c r="N42" s="26">
        <f t="shared" si="10"/>
        <v>0</v>
      </c>
      <c r="O42" s="31">
        <f t="shared" si="10"/>
        <v>0</v>
      </c>
      <c r="P42" s="32">
        <f t="shared" si="10"/>
        <v>12164</v>
      </c>
      <c r="Q42" s="32">
        <f t="shared" si="10"/>
        <v>13380</v>
      </c>
      <c r="R42" s="2022"/>
      <c r="S42" s="287">
        <f>SUM(S41)</f>
        <v>30.18</v>
      </c>
      <c r="T42" s="288"/>
      <c r="U42" s="289">
        <f>SUM(U41)</f>
        <v>30.18</v>
      </c>
    </row>
    <row r="43" spans="1:30" ht="20.25" hidden="1" customHeight="1" outlineLevel="1" x14ac:dyDescent="0.2">
      <c r="A43" s="2024">
        <v>2</v>
      </c>
      <c r="B43" s="2025">
        <v>1</v>
      </c>
      <c r="C43" s="1142" t="s">
        <v>234</v>
      </c>
      <c r="D43" s="1301" t="s">
        <v>630</v>
      </c>
      <c r="E43" s="2065" t="s">
        <v>631</v>
      </c>
      <c r="F43" s="2067">
        <v>15</v>
      </c>
      <c r="G43" s="936" t="s">
        <v>224</v>
      </c>
      <c r="H43" s="937">
        <v>7154</v>
      </c>
      <c r="I43" s="874">
        <v>7154</v>
      </c>
      <c r="J43" s="874"/>
      <c r="K43" s="873"/>
      <c r="L43" s="937">
        <v>3000</v>
      </c>
      <c r="M43" s="874">
        <v>3000</v>
      </c>
      <c r="N43" s="874"/>
      <c r="O43" s="873"/>
      <c r="P43" s="938">
        <v>11485</v>
      </c>
      <c r="Q43" s="938">
        <v>12633</v>
      </c>
      <c r="R43" s="2022" t="s">
        <v>632</v>
      </c>
      <c r="S43" s="884">
        <v>29</v>
      </c>
      <c r="T43" s="886"/>
      <c r="U43" s="887">
        <v>29</v>
      </c>
    </row>
    <row r="44" spans="1:30" ht="15.75" hidden="1" customHeight="1" outlineLevel="1" x14ac:dyDescent="0.2">
      <c r="A44" s="2013"/>
      <c r="B44" s="2062"/>
      <c r="C44" s="2063"/>
      <c r="D44" s="2064"/>
      <c r="E44" s="2066"/>
      <c r="F44" s="2068"/>
      <c r="G44" s="935" t="s">
        <v>624</v>
      </c>
      <c r="H44" s="28">
        <f>SUM(H43)</f>
        <v>7154</v>
      </c>
      <c r="I44" s="26">
        <f t="shared" ref="I44:Q44" si="11">SUM(I43)</f>
        <v>7154</v>
      </c>
      <c r="J44" s="26">
        <f t="shared" si="11"/>
        <v>0</v>
      </c>
      <c r="K44" s="31">
        <f t="shared" si="11"/>
        <v>0</v>
      </c>
      <c r="L44" s="28">
        <f t="shared" si="11"/>
        <v>3000</v>
      </c>
      <c r="M44" s="26">
        <f t="shared" si="11"/>
        <v>3000</v>
      </c>
      <c r="N44" s="26">
        <f t="shared" si="11"/>
        <v>0</v>
      </c>
      <c r="O44" s="31">
        <f t="shared" si="11"/>
        <v>0</v>
      </c>
      <c r="P44" s="32">
        <f t="shared" si="11"/>
        <v>11485</v>
      </c>
      <c r="Q44" s="32">
        <f t="shared" si="11"/>
        <v>12633</v>
      </c>
      <c r="R44" s="2022"/>
      <c r="S44" s="287">
        <f>SUM(S43)</f>
        <v>29</v>
      </c>
      <c r="T44" s="288"/>
      <c r="U44" s="289">
        <f>SUM(U43)</f>
        <v>29</v>
      </c>
    </row>
    <row r="45" spans="1:30" ht="20.25" hidden="1" customHeight="1" outlineLevel="1" x14ac:dyDescent="0.2">
      <c r="A45" s="2024">
        <v>2</v>
      </c>
      <c r="B45" s="2025">
        <v>1</v>
      </c>
      <c r="C45" s="1142" t="s">
        <v>237</v>
      </c>
      <c r="D45" s="1301" t="s">
        <v>630</v>
      </c>
      <c r="E45" s="2065" t="s">
        <v>631</v>
      </c>
      <c r="F45" s="2067">
        <v>16</v>
      </c>
      <c r="G45" s="936" t="s">
        <v>224</v>
      </c>
      <c r="H45" s="937">
        <v>290</v>
      </c>
      <c r="I45" s="874">
        <v>290</v>
      </c>
      <c r="J45" s="874"/>
      <c r="K45" s="873"/>
      <c r="L45" s="937">
        <v>869</v>
      </c>
      <c r="M45" s="874">
        <v>869</v>
      </c>
      <c r="N45" s="874"/>
      <c r="O45" s="873"/>
      <c r="P45" s="938">
        <v>4300</v>
      </c>
      <c r="Q45" s="938">
        <v>4344</v>
      </c>
      <c r="R45" s="2022" t="s">
        <v>632</v>
      </c>
      <c r="S45" s="884">
        <v>15</v>
      </c>
      <c r="T45" s="886"/>
      <c r="U45" s="887">
        <v>15</v>
      </c>
    </row>
    <row r="46" spans="1:30" ht="15.75" hidden="1" customHeight="1" outlineLevel="1" x14ac:dyDescent="0.2">
      <c r="A46" s="2013"/>
      <c r="B46" s="2062"/>
      <c r="C46" s="2063"/>
      <c r="D46" s="2064"/>
      <c r="E46" s="2066"/>
      <c r="F46" s="2068"/>
      <c r="G46" s="935" t="s">
        <v>624</v>
      </c>
      <c r="H46" s="28">
        <f>SUM(H45)</f>
        <v>290</v>
      </c>
      <c r="I46" s="26">
        <f t="shared" ref="I46:Q46" si="12">SUM(I45)</f>
        <v>290</v>
      </c>
      <c r="J46" s="26">
        <f t="shared" si="12"/>
        <v>0</v>
      </c>
      <c r="K46" s="31">
        <f t="shared" si="12"/>
        <v>0</v>
      </c>
      <c r="L46" s="28">
        <f t="shared" si="12"/>
        <v>869</v>
      </c>
      <c r="M46" s="26">
        <f t="shared" si="12"/>
        <v>869</v>
      </c>
      <c r="N46" s="26">
        <f t="shared" si="12"/>
        <v>0</v>
      </c>
      <c r="O46" s="31">
        <f t="shared" si="12"/>
        <v>0</v>
      </c>
      <c r="P46" s="32">
        <f t="shared" si="12"/>
        <v>4300</v>
      </c>
      <c r="Q46" s="32">
        <f t="shared" si="12"/>
        <v>4344</v>
      </c>
      <c r="R46" s="2022"/>
      <c r="S46" s="287">
        <f>SUM(S45)</f>
        <v>15</v>
      </c>
      <c r="T46" s="288"/>
      <c r="U46" s="289">
        <f>SUM(U45)</f>
        <v>15</v>
      </c>
    </row>
    <row r="47" spans="1:30" ht="20.25" hidden="1" customHeight="1" outlineLevel="1" x14ac:dyDescent="0.2">
      <c r="A47" s="2024">
        <v>2</v>
      </c>
      <c r="B47" s="2025">
        <v>1</v>
      </c>
      <c r="C47" s="1142" t="s">
        <v>242</v>
      </c>
      <c r="D47" s="1301" t="s">
        <v>630</v>
      </c>
      <c r="E47" s="2065" t="s">
        <v>631</v>
      </c>
      <c r="F47" s="2067">
        <v>17</v>
      </c>
      <c r="G47" s="936" t="s">
        <v>224</v>
      </c>
      <c r="H47" s="937">
        <v>2300</v>
      </c>
      <c r="I47" s="874">
        <v>2300</v>
      </c>
      <c r="J47" s="874"/>
      <c r="K47" s="873"/>
      <c r="L47" s="937">
        <v>1100</v>
      </c>
      <c r="M47" s="874">
        <v>1100</v>
      </c>
      <c r="N47" s="874"/>
      <c r="O47" s="873"/>
      <c r="P47" s="938">
        <v>2500</v>
      </c>
      <c r="Q47" s="938">
        <v>2700</v>
      </c>
      <c r="R47" s="2022" t="s">
        <v>632</v>
      </c>
      <c r="S47" s="884">
        <v>16</v>
      </c>
      <c r="T47" s="886"/>
      <c r="U47" s="887">
        <v>16</v>
      </c>
    </row>
    <row r="48" spans="1:30" ht="15.75" hidden="1" customHeight="1" outlineLevel="1" x14ac:dyDescent="0.2">
      <c r="A48" s="2013"/>
      <c r="B48" s="2062"/>
      <c r="C48" s="2063"/>
      <c r="D48" s="2064"/>
      <c r="E48" s="2066"/>
      <c r="F48" s="2068"/>
      <c r="G48" s="935" t="s">
        <v>624</v>
      </c>
      <c r="H48" s="28">
        <f>SUM(H47)</f>
        <v>2300</v>
      </c>
      <c r="I48" s="26">
        <f t="shared" ref="I48:Q48" si="13">SUM(I47)</f>
        <v>2300</v>
      </c>
      <c r="J48" s="26">
        <f t="shared" si="13"/>
        <v>0</v>
      </c>
      <c r="K48" s="31">
        <f t="shared" si="13"/>
        <v>0</v>
      </c>
      <c r="L48" s="28">
        <f t="shared" si="13"/>
        <v>1100</v>
      </c>
      <c r="M48" s="26">
        <f t="shared" si="13"/>
        <v>1100</v>
      </c>
      <c r="N48" s="26">
        <f t="shared" si="13"/>
        <v>0</v>
      </c>
      <c r="O48" s="31">
        <f t="shared" si="13"/>
        <v>0</v>
      </c>
      <c r="P48" s="32">
        <f t="shared" si="13"/>
        <v>2500</v>
      </c>
      <c r="Q48" s="32">
        <f t="shared" si="13"/>
        <v>2700</v>
      </c>
      <c r="R48" s="2022"/>
      <c r="S48" s="287">
        <f>SUM(S47)</f>
        <v>16</v>
      </c>
      <c r="T48" s="288"/>
      <c r="U48" s="289">
        <f>SUM(U47)</f>
        <v>16</v>
      </c>
    </row>
    <row r="49" spans="1:30" ht="20.25" hidden="1" customHeight="1" outlineLevel="1" x14ac:dyDescent="0.2">
      <c r="A49" s="2024">
        <v>2</v>
      </c>
      <c r="B49" s="2025">
        <v>1</v>
      </c>
      <c r="C49" s="1142" t="s">
        <v>245</v>
      </c>
      <c r="D49" s="1301" t="s">
        <v>630</v>
      </c>
      <c r="E49" s="2065" t="s">
        <v>631</v>
      </c>
      <c r="F49" s="2067">
        <v>18</v>
      </c>
      <c r="G49" s="936" t="s">
        <v>224</v>
      </c>
      <c r="H49" s="937">
        <v>46300</v>
      </c>
      <c r="I49" s="874">
        <v>46300</v>
      </c>
      <c r="J49" s="874"/>
      <c r="K49" s="873"/>
      <c r="L49" s="937">
        <v>36000</v>
      </c>
      <c r="M49" s="874">
        <v>36000</v>
      </c>
      <c r="N49" s="874"/>
      <c r="O49" s="873"/>
      <c r="P49" s="938">
        <v>50000</v>
      </c>
      <c r="Q49" s="938">
        <v>50000</v>
      </c>
      <c r="R49" s="2022" t="s">
        <v>632</v>
      </c>
      <c r="S49" s="884">
        <v>19.3</v>
      </c>
      <c r="T49" s="886"/>
      <c r="U49" s="887">
        <v>19.3</v>
      </c>
    </row>
    <row r="50" spans="1:30" ht="15.75" hidden="1" customHeight="1" outlineLevel="1" x14ac:dyDescent="0.2">
      <c r="A50" s="2013"/>
      <c r="B50" s="2062"/>
      <c r="C50" s="2063"/>
      <c r="D50" s="2064"/>
      <c r="E50" s="2066"/>
      <c r="F50" s="2068"/>
      <c r="G50" s="935" t="s">
        <v>624</v>
      </c>
      <c r="H50" s="28">
        <f>SUM(H49)</f>
        <v>46300</v>
      </c>
      <c r="I50" s="26">
        <f t="shared" ref="I50:Q50" si="14">SUM(I49)</f>
        <v>46300</v>
      </c>
      <c r="J50" s="26">
        <f t="shared" si="14"/>
        <v>0</v>
      </c>
      <c r="K50" s="31">
        <f t="shared" si="14"/>
        <v>0</v>
      </c>
      <c r="L50" s="28">
        <f t="shared" si="14"/>
        <v>36000</v>
      </c>
      <c r="M50" s="26">
        <f t="shared" si="14"/>
        <v>36000</v>
      </c>
      <c r="N50" s="26">
        <f t="shared" si="14"/>
        <v>0</v>
      </c>
      <c r="O50" s="31">
        <f t="shared" si="14"/>
        <v>0</v>
      </c>
      <c r="P50" s="32">
        <f t="shared" si="14"/>
        <v>50000</v>
      </c>
      <c r="Q50" s="32">
        <f t="shared" si="14"/>
        <v>50000</v>
      </c>
      <c r="R50" s="2022"/>
      <c r="S50" s="287">
        <f>SUM(S49)</f>
        <v>19.3</v>
      </c>
      <c r="T50" s="288"/>
      <c r="U50" s="289">
        <f>SUM(U49)</f>
        <v>19.3</v>
      </c>
    </row>
    <row r="51" spans="1:30" ht="20.25" hidden="1" customHeight="1" outlineLevel="1" x14ac:dyDescent="0.2">
      <c r="A51" s="2024">
        <v>2</v>
      </c>
      <c r="B51" s="2025">
        <v>1</v>
      </c>
      <c r="C51" s="1142" t="s">
        <v>249</v>
      </c>
      <c r="D51" s="1301" t="s">
        <v>630</v>
      </c>
      <c r="E51" s="2065" t="s">
        <v>631</v>
      </c>
      <c r="F51" s="2067">
        <v>19</v>
      </c>
      <c r="G51" s="936" t="s">
        <v>224</v>
      </c>
      <c r="H51" s="937">
        <v>3500</v>
      </c>
      <c r="I51" s="874">
        <v>3500</v>
      </c>
      <c r="J51" s="874"/>
      <c r="K51" s="873"/>
      <c r="L51" s="937">
        <v>2600</v>
      </c>
      <c r="M51" s="874">
        <v>2600</v>
      </c>
      <c r="N51" s="874"/>
      <c r="O51" s="873"/>
      <c r="P51" s="938">
        <v>3800</v>
      </c>
      <c r="Q51" s="938">
        <v>4200</v>
      </c>
      <c r="R51" s="2022" t="s">
        <v>632</v>
      </c>
      <c r="S51" s="884">
        <v>15.2</v>
      </c>
      <c r="T51" s="886"/>
      <c r="U51" s="887">
        <v>15.2</v>
      </c>
    </row>
    <row r="52" spans="1:30" ht="15.75" hidden="1" customHeight="1" outlineLevel="1" x14ac:dyDescent="0.2">
      <c r="A52" s="2013"/>
      <c r="B52" s="2062"/>
      <c r="C52" s="2063"/>
      <c r="D52" s="2064"/>
      <c r="E52" s="2066"/>
      <c r="F52" s="2068"/>
      <c r="G52" s="935" t="s">
        <v>624</v>
      </c>
      <c r="H52" s="28">
        <f>SUM(H51)</f>
        <v>3500</v>
      </c>
      <c r="I52" s="26">
        <f t="shared" ref="I52:Q52" si="15">SUM(I51)</f>
        <v>3500</v>
      </c>
      <c r="J52" s="26">
        <f t="shared" si="15"/>
        <v>0</v>
      </c>
      <c r="K52" s="31">
        <f t="shared" si="15"/>
        <v>0</v>
      </c>
      <c r="L52" s="28">
        <f t="shared" si="15"/>
        <v>2600</v>
      </c>
      <c r="M52" s="26">
        <f t="shared" si="15"/>
        <v>2600</v>
      </c>
      <c r="N52" s="26">
        <f t="shared" si="15"/>
        <v>0</v>
      </c>
      <c r="O52" s="31">
        <f t="shared" si="15"/>
        <v>0</v>
      </c>
      <c r="P52" s="32">
        <f t="shared" si="15"/>
        <v>3800</v>
      </c>
      <c r="Q52" s="32">
        <f t="shared" si="15"/>
        <v>4200</v>
      </c>
      <c r="R52" s="2022"/>
      <c r="S52" s="287">
        <f>SUM(S51)</f>
        <v>15.2</v>
      </c>
      <c r="T52" s="288"/>
      <c r="U52" s="289">
        <f>SUM(U51)</f>
        <v>15.2</v>
      </c>
    </row>
    <row r="53" spans="1:30" ht="20.25" hidden="1" customHeight="1" outlineLevel="1" x14ac:dyDescent="0.2">
      <c r="A53" s="2024">
        <v>2</v>
      </c>
      <c r="B53" s="2025">
        <v>1</v>
      </c>
      <c r="C53" s="1142" t="s">
        <v>253</v>
      </c>
      <c r="D53" s="1301" t="s">
        <v>630</v>
      </c>
      <c r="E53" s="2065" t="s">
        <v>631</v>
      </c>
      <c r="F53" s="2067">
        <v>20</v>
      </c>
      <c r="G53" s="936" t="s">
        <v>224</v>
      </c>
      <c r="H53" s="937">
        <v>3186</v>
      </c>
      <c r="I53" s="874">
        <v>3186</v>
      </c>
      <c r="J53" s="874"/>
      <c r="K53" s="873"/>
      <c r="L53" s="937">
        <v>1300</v>
      </c>
      <c r="M53" s="874">
        <v>1300</v>
      </c>
      <c r="N53" s="874"/>
      <c r="O53" s="873"/>
      <c r="P53" s="938">
        <v>4200</v>
      </c>
      <c r="Q53" s="938">
        <v>4300</v>
      </c>
      <c r="R53" s="2022" t="s">
        <v>632</v>
      </c>
      <c r="S53" s="884">
        <v>22</v>
      </c>
      <c r="T53" s="886"/>
      <c r="U53" s="887">
        <v>22</v>
      </c>
    </row>
    <row r="54" spans="1:30" ht="15.75" hidden="1" customHeight="1" outlineLevel="1" x14ac:dyDescent="0.2">
      <c r="A54" s="2013"/>
      <c r="B54" s="2062"/>
      <c r="C54" s="2063"/>
      <c r="D54" s="2064"/>
      <c r="E54" s="2066"/>
      <c r="F54" s="2068"/>
      <c r="G54" s="935" t="s">
        <v>624</v>
      </c>
      <c r="H54" s="28">
        <f>SUM(H53)</f>
        <v>3186</v>
      </c>
      <c r="I54" s="26">
        <f t="shared" ref="I54:Q54" si="16">SUM(I53)</f>
        <v>3186</v>
      </c>
      <c r="J54" s="26">
        <f t="shared" si="16"/>
        <v>0</v>
      </c>
      <c r="K54" s="31">
        <f t="shared" si="16"/>
        <v>0</v>
      </c>
      <c r="L54" s="28">
        <f t="shared" si="16"/>
        <v>1300</v>
      </c>
      <c r="M54" s="26">
        <f t="shared" si="16"/>
        <v>1300</v>
      </c>
      <c r="N54" s="26">
        <f t="shared" si="16"/>
        <v>0</v>
      </c>
      <c r="O54" s="31">
        <f t="shared" si="16"/>
        <v>0</v>
      </c>
      <c r="P54" s="32">
        <f t="shared" si="16"/>
        <v>4200</v>
      </c>
      <c r="Q54" s="32">
        <f t="shared" si="16"/>
        <v>4300</v>
      </c>
      <c r="R54" s="2022"/>
      <c r="S54" s="287">
        <f>SUM(S53)</f>
        <v>22</v>
      </c>
      <c r="T54" s="288"/>
      <c r="U54" s="289">
        <f>SUM(U53)</f>
        <v>22</v>
      </c>
    </row>
    <row r="55" spans="1:30" ht="20.25" hidden="1" customHeight="1" outlineLevel="1" x14ac:dyDescent="0.2">
      <c r="A55" s="2024">
        <v>2</v>
      </c>
      <c r="B55" s="2025">
        <v>1</v>
      </c>
      <c r="C55" s="1142" t="s">
        <v>256</v>
      </c>
      <c r="D55" s="1301" t="s">
        <v>630</v>
      </c>
      <c r="E55" s="2065" t="s">
        <v>631</v>
      </c>
      <c r="F55" s="2067">
        <v>21</v>
      </c>
      <c r="G55" s="936" t="s">
        <v>224</v>
      </c>
      <c r="H55" s="937">
        <v>1900</v>
      </c>
      <c r="I55" s="874">
        <v>1900</v>
      </c>
      <c r="J55" s="874"/>
      <c r="K55" s="873"/>
      <c r="L55" s="937">
        <v>1441</v>
      </c>
      <c r="M55" s="874">
        <v>1441</v>
      </c>
      <c r="N55" s="874"/>
      <c r="O55" s="873"/>
      <c r="P55" s="938">
        <v>2300</v>
      </c>
      <c r="Q55" s="938">
        <v>2500</v>
      </c>
      <c r="R55" s="2022" t="s">
        <v>632</v>
      </c>
      <c r="S55" s="884">
        <v>13.7</v>
      </c>
      <c r="T55" s="886"/>
      <c r="U55" s="887">
        <v>14.3</v>
      </c>
    </row>
    <row r="56" spans="1:30" ht="15.75" hidden="1" customHeight="1" outlineLevel="1" x14ac:dyDescent="0.2">
      <c r="A56" s="2013"/>
      <c r="B56" s="2062"/>
      <c r="C56" s="2063"/>
      <c r="D56" s="2064"/>
      <c r="E56" s="2066"/>
      <c r="F56" s="2068"/>
      <c r="G56" s="935" t="s">
        <v>624</v>
      </c>
      <c r="H56" s="28">
        <f>SUM(H55)</f>
        <v>1900</v>
      </c>
      <c r="I56" s="26">
        <f t="shared" ref="I56:Q56" si="17">SUM(I55)</f>
        <v>1900</v>
      </c>
      <c r="J56" s="26">
        <f t="shared" si="17"/>
        <v>0</v>
      </c>
      <c r="K56" s="31">
        <f t="shared" si="17"/>
        <v>0</v>
      </c>
      <c r="L56" s="28">
        <f t="shared" si="17"/>
        <v>1441</v>
      </c>
      <c r="M56" s="26">
        <f t="shared" si="17"/>
        <v>1441</v>
      </c>
      <c r="N56" s="26">
        <f t="shared" si="17"/>
        <v>0</v>
      </c>
      <c r="O56" s="31">
        <f t="shared" si="17"/>
        <v>0</v>
      </c>
      <c r="P56" s="32">
        <f t="shared" si="17"/>
        <v>2300</v>
      </c>
      <c r="Q56" s="32">
        <f t="shared" si="17"/>
        <v>2500</v>
      </c>
      <c r="R56" s="2022"/>
      <c r="S56" s="287">
        <f>SUM(S55)</f>
        <v>13.7</v>
      </c>
      <c r="T56" s="288"/>
      <c r="U56" s="289">
        <f>SUM(U55)</f>
        <v>14.3</v>
      </c>
    </row>
    <row r="57" spans="1:30" ht="23.25" customHeight="1" collapsed="1" x14ac:dyDescent="0.2">
      <c r="A57" s="2013">
        <v>2</v>
      </c>
      <c r="B57" s="2015">
        <v>1</v>
      </c>
      <c r="C57" s="1414">
        <v>2</v>
      </c>
      <c r="D57" s="1302" t="s">
        <v>633</v>
      </c>
      <c r="E57" s="2018" t="s">
        <v>634</v>
      </c>
      <c r="F57" s="2050" t="s">
        <v>430</v>
      </c>
      <c r="G57" s="2057" t="s">
        <v>224</v>
      </c>
      <c r="H57" s="2052">
        <v>139.19999999999999</v>
      </c>
      <c r="I57" s="1687">
        <v>139.19999999999999</v>
      </c>
      <c r="J57" s="1687">
        <v>45.9</v>
      </c>
      <c r="K57" s="1693"/>
      <c r="L57" s="2060">
        <v>171.9</v>
      </c>
      <c r="M57" s="2061">
        <v>171.9</v>
      </c>
      <c r="N57" s="1687">
        <v>51.1</v>
      </c>
      <c r="O57" s="1693">
        <v>6.1</v>
      </c>
      <c r="P57" s="2058">
        <v>243.3</v>
      </c>
      <c r="Q57" s="2058">
        <v>248.4</v>
      </c>
      <c r="R57" s="2053" t="s">
        <v>635</v>
      </c>
      <c r="S57" s="889">
        <v>5</v>
      </c>
      <c r="T57" s="890">
        <v>5</v>
      </c>
      <c r="U57" s="1366"/>
      <c r="W57" s="524" t="s">
        <v>224</v>
      </c>
      <c r="X57" s="549">
        <f>H61+H65+H69+H73+H77+H81+H85+H89</f>
        <v>134691</v>
      </c>
      <c r="Y57" s="549">
        <f>I61+I65+I69+I73+I77+I81+I85+I89</f>
        <v>133909</v>
      </c>
      <c r="Z57" s="549">
        <f>J61+J65+J69+J73+J77+J81+J85+J89</f>
        <v>37941</v>
      </c>
      <c r="AA57" s="549">
        <f>K61+K65+K69+K73+K77+K81+K85+K89</f>
        <v>782</v>
      </c>
      <c r="AC57" s="549">
        <f>P61+P65+P69+P73+P77+P81+P85+P89</f>
        <v>157194</v>
      </c>
      <c r="AD57" s="549">
        <f>Q61+Q65+Q69+Q73+Q77+Q81+Q85+Q89</f>
        <v>167886</v>
      </c>
    </row>
    <row r="58" spans="1:30" ht="14.25" customHeight="1" x14ac:dyDescent="0.2">
      <c r="A58" s="2014"/>
      <c r="B58" s="2002"/>
      <c r="C58" s="1415"/>
      <c r="D58" s="1381"/>
      <c r="E58" s="2055"/>
      <c r="F58" s="2056"/>
      <c r="G58" s="2057"/>
      <c r="H58" s="2052"/>
      <c r="I58" s="1687"/>
      <c r="J58" s="1687"/>
      <c r="K58" s="1693"/>
      <c r="L58" s="2060"/>
      <c r="M58" s="2061"/>
      <c r="N58" s="1687"/>
      <c r="O58" s="1693"/>
      <c r="P58" s="2058"/>
      <c r="Q58" s="2058"/>
      <c r="R58" s="2053"/>
      <c r="S58" s="551">
        <f>SUM(S57)</f>
        <v>5</v>
      </c>
      <c r="T58" s="552">
        <v>5</v>
      </c>
      <c r="U58" s="1368"/>
      <c r="W58" s="524" t="s">
        <v>226</v>
      </c>
      <c r="X58" s="549">
        <f t="shared" ref="X58:AA59" si="18">H63+H67+H71+H75+H79+H83+H87+H91</f>
        <v>579</v>
      </c>
      <c r="Y58" s="549">
        <f t="shared" si="18"/>
        <v>579</v>
      </c>
      <c r="Z58" s="549">
        <f t="shared" si="18"/>
        <v>0</v>
      </c>
      <c r="AA58" s="549">
        <f t="shared" si="18"/>
        <v>0</v>
      </c>
      <c r="AC58" s="549">
        <f>P63+P67+P71+P75+P79+P83+P87+P91</f>
        <v>579</v>
      </c>
      <c r="AD58" s="549">
        <f>Q63+Q67+Q71+Q75+Q79+Q83+Q87+Q91</f>
        <v>579</v>
      </c>
    </row>
    <row r="59" spans="1:30" ht="43.5" customHeight="1" x14ac:dyDescent="0.2">
      <c r="A59" s="2014"/>
      <c r="B59" s="2002"/>
      <c r="C59" s="1415"/>
      <c r="D59" s="1381"/>
      <c r="E59" s="2055"/>
      <c r="F59" s="2056"/>
      <c r="G59" s="940" t="s">
        <v>226</v>
      </c>
      <c r="H59" s="191"/>
      <c r="I59" s="875"/>
      <c r="J59" s="875"/>
      <c r="K59" s="876"/>
      <c r="L59" s="21"/>
      <c r="M59" s="23"/>
      <c r="N59" s="23"/>
      <c r="O59" s="876"/>
      <c r="P59" s="14"/>
      <c r="Q59" s="14"/>
      <c r="R59" s="2053" t="s">
        <v>636</v>
      </c>
      <c r="S59" s="889">
        <v>446.2</v>
      </c>
      <c r="T59" s="890">
        <v>446.2</v>
      </c>
      <c r="U59" s="1998" t="s">
        <v>609</v>
      </c>
      <c r="X59" s="549">
        <f t="shared" si="18"/>
        <v>135270</v>
      </c>
      <c r="Y59" s="549">
        <f t="shared" si="18"/>
        <v>134488</v>
      </c>
      <c r="Z59" s="549">
        <f t="shared" si="18"/>
        <v>37941</v>
      </c>
      <c r="AA59" s="549">
        <f t="shared" si="18"/>
        <v>782</v>
      </c>
      <c r="AC59" s="549">
        <f>P64+P68+P72+P76+P80+P84+P88+P92</f>
        <v>157773</v>
      </c>
      <c r="AD59" s="549">
        <f>Q64+Q68+Q72+Q76+Q80+Q84+Q88+Q92</f>
        <v>168465</v>
      </c>
    </row>
    <row r="60" spans="1:30" ht="15" customHeight="1" x14ac:dyDescent="0.2">
      <c r="A60" s="2014"/>
      <c r="B60" s="2047"/>
      <c r="C60" s="2047"/>
      <c r="D60" s="2048"/>
      <c r="E60" s="2051"/>
      <c r="F60" s="2051"/>
      <c r="G60" s="925" t="s">
        <v>624</v>
      </c>
      <c r="H60" s="28">
        <f>SUM(H57:H59)</f>
        <v>139.19999999999999</v>
      </c>
      <c r="I60" s="26">
        <f t="shared" ref="I60:Q60" si="19">SUM(I57:I59)</f>
        <v>139.19999999999999</v>
      </c>
      <c r="J60" s="26">
        <f t="shared" si="19"/>
        <v>45.9</v>
      </c>
      <c r="K60" s="31">
        <f t="shared" si="19"/>
        <v>0</v>
      </c>
      <c r="L60" s="28">
        <f>SUM(L57:L59)</f>
        <v>171.9</v>
      </c>
      <c r="M60" s="26">
        <f>SUM(M57:M59)</f>
        <v>171.9</v>
      </c>
      <c r="N60" s="26">
        <f>SUM(N57:N59)</f>
        <v>51.1</v>
      </c>
      <c r="O60" s="31">
        <f t="shared" si="19"/>
        <v>6.1</v>
      </c>
      <c r="P60" s="32">
        <f t="shared" si="19"/>
        <v>243.3</v>
      </c>
      <c r="Q60" s="32">
        <f t="shared" si="19"/>
        <v>248.4</v>
      </c>
      <c r="R60" s="2053"/>
      <c r="S60" s="287">
        <f>SUM(S59)</f>
        <v>446.2</v>
      </c>
      <c r="T60" s="288">
        <v>446.2</v>
      </c>
      <c r="U60" s="2059"/>
      <c r="X60" s="549">
        <f>S61+S65+S69+S73+S77+S81+S85+S89</f>
        <v>5</v>
      </c>
      <c r="Y60" s="549">
        <f>T61+T65+T69+T73+T77+T81+T85+T89</f>
        <v>0</v>
      </c>
      <c r="Z60" s="549">
        <f>U61+U65+U69+U73+U77+U81+U85+U89</f>
        <v>5</v>
      </c>
    </row>
    <row r="61" spans="1:30" ht="23.25" hidden="1" customHeight="1" outlineLevel="1" x14ac:dyDescent="0.2">
      <c r="A61" s="2013">
        <v>2</v>
      </c>
      <c r="B61" s="2015">
        <v>1</v>
      </c>
      <c r="C61" s="1127" t="s">
        <v>277</v>
      </c>
      <c r="D61" s="1302" t="s">
        <v>633</v>
      </c>
      <c r="E61" s="2018" t="s">
        <v>634</v>
      </c>
      <c r="F61" s="2050">
        <v>14</v>
      </c>
      <c r="G61" s="2057" t="s">
        <v>224</v>
      </c>
      <c r="H61" s="2052">
        <v>19765</v>
      </c>
      <c r="I61" s="1687">
        <v>19765</v>
      </c>
      <c r="J61" s="1687">
        <v>9562</v>
      </c>
      <c r="K61" s="1693"/>
      <c r="L61" s="2052">
        <v>13753</v>
      </c>
      <c r="M61" s="1687">
        <v>13753</v>
      </c>
      <c r="N61" s="1687">
        <v>8219</v>
      </c>
      <c r="O61" s="1693"/>
      <c r="P61" s="2058">
        <v>22730</v>
      </c>
      <c r="Q61" s="2058">
        <v>25003</v>
      </c>
      <c r="R61" s="2053" t="s">
        <v>635</v>
      </c>
      <c r="S61" s="889">
        <v>1</v>
      </c>
      <c r="T61" s="890"/>
      <c r="U61" s="888">
        <v>1</v>
      </c>
      <c r="X61" s="549">
        <f>S63+S67+S71+S75+S79+S83+S87+S91</f>
        <v>446.2</v>
      </c>
      <c r="Y61" s="549">
        <f>T63+T67+T71+T75+T79+T83+T87+T91</f>
        <v>0</v>
      </c>
      <c r="Z61" s="549">
        <f>U63+U67+U71+U75+U79+U83+U87+U91</f>
        <v>446.2</v>
      </c>
    </row>
    <row r="62" spans="1:30" ht="14.25" hidden="1" customHeight="1" outlineLevel="1" x14ac:dyDescent="0.2">
      <c r="A62" s="2014"/>
      <c r="B62" s="2002"/>
      <c r="C62" s="1128"/>
      <c r="D62" s="1381"/>
      <c r="E62" s="2055"/>
      <c r="F62" s="2056"/>
      <c r="G62" s="2057"/>
      <c r="H62" s="2052"/>
      <c r="I62" s="1687"/>
      <c r="J62" s="1687"/>
      <c r="K62" s="1693"/>
      <c r="L62" s="2052"/>
      <c r="M62" s="1687"/>
      <c r="N62" s="1687"/>
      <c r="O62" s="1693"/>
      <c r="P62" s="2058"/>
      <c r="Q62" s="2058"/>
      <c r="R62" s="2053"/>
      <c r="S62" s="551">
        <f>SUM(S61)</f>
        <v>1</v>
      </c>
      <c r="T62" s="552"/>
      <c r="U62" s="553">
        <f>SUM(U61)</f>
        <v>1</v>
      </c>
    </row>
    <row r="63" spans="1:30" ht="43.5" hidden="1" customHeight="1" outlineLevel="1" x14ac:dyDescent="0.2">
      <c r="A63" s="2014"/>
      <c r="B63" s="2002"/>
      <c r="C63" s="1128"/>
      <c r="D63" s="1381"/>
      <c r="E63" s="2055"/>
      <c r="F63" s="2056"/>
      <c r="G63" s="940" t="s">
        <v>226</v>
      </c>
      <c r="H63" s="191"/>
      <c r="I63" s="875"/>
      <c r="J63" s="875"/>
      <c r="K63" s="876"/>
      <c r="L63" s="191"/>
      <c r="M63" s="875"/>
      <c r="N63" s="875"/>
      <c r="O63" s="876"/>
      <c r="P63" s="14"/>
      <c r="Q63" s="14"/>
      <c r="R63" s="2053" t="s">
        <v>636</v>
      </c>
      <c r="S63" s="889">
        <v>140</v>
      </c>
      <c r="T63" s="890"/>
      <c r="U63" s="888">
        <v>140</v>
      </c>
    </row>
    <row r="64" spans="1:30" ht="15" hidden="1" customHeight="1" outlineLevel="1" x14ac:dyDescent="0.2">
      <c r="A64" s="2014"/>
      <c r="B64" s="2047"/>
      <c r="C64" s="2054"/>
      <c r="D64" s="2048"/>
      <c r="E64" s="2051"/>
      <c r="F64" s="2051"/>
      <c r="G64" s="925" t="s">
        <v>624</v>
      </c>
      <c r="H64" s="28">
        <f>SUM(H61:H63)</f>
        <v>19765</v>
      </c>
      <c r="I64" s="26">
        <f t="shared" ref="I64:Q64" si="20">SUM(I61:I63)</f>
        <v>19765</v>
      </c>
      <c r="J64" s="26">
        <f t="shared" si="20"/>
        <v>9562</v>
      </c>
      <c r="K64" s="31">
        <f t="shared" si="20"/>
        <v>0</v>
      </c>
      <c r="L64" s="28">
        <f t="shared" si="20"/>
        <v>13753</v>
      </c>
      <c r="M64" s="26">
        <f t="shared" si="20"/>
        <v>13753</v>
      </c>
      <c r="N64" s="26">
        <f t="shared" si="20"/>
        <v>8219</v>
      </c>
      <c r="O64" s="31">
        <f t="shared" si="20"/>
        <v>0</v>
      </c>
      <c r="P64" s="32">
        <f t="shared" si="20"/>
        <v>22730</v>
      </c>
      <c r="Q64" s="32">
        <f t="shared" si="20"/>
        <v>25003</v>
      </c>
      <c r="R64" s="2053"/>
      <c r="S64" s="287">
        <f>SUM(S63)</f>
        <v>140</v>
      </c>
      <c r="T64" s="288"/>
      <c r="U64" s="289">
        <f>SUM(U63)</f>
        <v>140</v>
      </c>
    </row>
    <row r="65" spans="1:21" ht="23.25" hidden="1" customHeight="1" outlineLevel="1" x14ac:dyDescent="0.2">
      <c r="A65" s="2013">
        <v>2</v>
      </c>
      <c r="B65" s="2015">
        <v>1</v>
      </c>
      <c r="C65" s="1127" t="s">
        <v>282</v>
      </c>
      <c r="D65" s="1302" t="s">
        <v>633</v>
      </c>
      <c r="E65" s="2018" t="s">
        <v>634</v>
      </c>
      <c r="F65" s="2050">
        <v>15</v>
      </c>
      <c r="G65" s="2057" t="s">
        <v>224</v>
      </c>
      <c r="H65" s="2052">
        <v>8908</v>
      </c>
      <c r="I65" s="1687">
        <v>8908</v>
      </c>
      <c r="J65" s="1687">
        <v>6360</v>
      </c>
      <c r="K65" s="1693"/>
      <c r="L65" s="2052">
        <v>4915</v>
      </c>
      <c r="M65" s="1687">
        <v>4915</v>
      </c>
      <c r="N65" s="1687">
        <v>3600</v>
      </c>
      <c r="O65" s="1693"/>
      <c r="P65" s="2058">
        <v>13670</v>
      </c>
      <c r="Q65" s="2058">
        <v>15037</v>
      </c>
      <c r="R65" s="2053" t="s">
        <v>635</v>
      </c>
      <c r="S65" s="889">
        <v>1</v>
      </c>
      <c r="T65" s="890"/>
      <c r="U65" s="888">
        <v>1</v>
      </c>
    </row>
    <row r="66" spans="1:21" ht="14.25" hidden="1" customHeight="1" outlineLevel="1" x14ac:dyDescent="0.2">
      <c r="A66" s="2014"/>
      <c r="B66" s="2002"/>
      <c r="C66" s="1128"/>
      <c r="D66" s="1381"/>
      <c r="E66" s="2055"/>
      <c r="F66" s="2056"/>
      <c r="G66" s="2057"/>
      <c r="H66" s="2052"/>
      <c r="I66" s="1687"/>
      <c r="J66" s="1687"/>
      <c r="K66" s="1693"/>
      <c r="L66" s="2052"/>
      <c r="M66" s="1687"/>
      <c r="N66" s="1687"/>
      <c r="O66" s="1693"/>
      <c r="P66" s="2058"/>
      <c r="Q66" s="2058"/>
      <c r="R66" s="2053"/>
      <c r="S66" s="551">
        <f>SUM(S65)</f>
        <v>1</v>
      </c>
      <c r="T66" s="552"/>
      <c r="U66" s="553">
        <f>SUM(U65)</f>
        <v>1</v>
      </c>
    </row>
    <row r="67" spans="1:21" ht="43.5" hidden="1" customHeight="1" outlineLevel="1" x14ac:dyDescent="0.2">
      <c r="A67" s="2014"/>
      <c r="B67" s="2002"/>
      <c r="C67" s="1128"/>
      <c r="D67" s="1381"/>
      <c r="E67" s="2055"/>
      <c r="F67" s="2056"/>
      <c r="G67" s="940" t="s">
        <v>226</v>
      </c>
      <c r="H67" s="191"/>
      <c r="I67" s="875"/>
      <c r="J67" s="875"/>
      <c r="K67" s="876"/>
      <c r="L67" s="191"/>
      <c r="M67" s="875"/>
      <c r="N67" s="875"/>
      <c r="O67" s="876"/>
      <c r="P67" s="14"/>
      <c r="Q67" s="14"/>
      <c r="R67" s="2053" t="s">
        <v>636</v>
      </c>
      <c r="S67" s="889">
        <v>35</v>
      </c>
      <c r="T67" s="890"/>
      <c r="U67" s="888">
        <v>35</v>
      </c>
    </row>
    <row r="68" spans="1:21" ht="15" hidden="1" customHeight="1" outlineLevel="1" x14ac:dyDescent="0.2">
      <c r="A68" s="2014"/>
      <c r="B68" s="2047"/>
      <c r="C68" s="2054"/>
      <c r="D68" s="2048"/>
      <c r="E68" s="2051"/>
      <c r="F68" s="2051"/>
      <c r="G68" s="925" t="s">
        <v>624</v>
      </c>
      <c r="H68" s="28">
        <f>SUM(H65:H67)</f>
        <v>8908</v>
      </c>
      <c r="I68" s="26">
        <f t="shared" ref="I68:Q68" si="21">SUM(I65:I67)</f>
        <v>8908</v>
      </c>
      <c r="J68" s="26">
        <f t="shared" si="21"/>
        <v>6360</v>
      </c>
      <c r="K68" s="31">
        <f t="shared" si="21"/>
        <v>0</v>
      </c>
      <c r="L68" s="28">
        <f t="shared" si="21"/>
        <v>4915</v>
      </c>
      <c r="M68" s="26">
        <f t="shared" si="21"/>
        <v>4915</v>
      </c>
      <c r="N68" s="26">
        <f t="shared" si="21"/>
        <v>3600</v>
      </c>
      <c r="O68" s="31">
        <f t="shared" si="21"/>
        <v>0</v>
      </c>
      <c r="P68" s="32">
        <f t="shared" si="21"/>
        <v>13670</v>
      </c>
      <c r="Q68" s="32">
        <f t="shared" si="21"/>
        <v>15037</v>
      </c>
      <c r="R68" s="2053"/>
      <c r="S68" s="287">
        <f>SUM(S67)</f>
        <v>35</v>
      </c>
      <c r="T68" s="288"/>
      <c r="U68" s="289">
        <f>SUM(U67)</f>
        <v>35</v>
      </c>
    </row>
    <row r="69" spans="1:21" ht="23.25" hidden="1" customHeight="1" outlineLevel="1" x14ac:dyDescent="0.2">
      <c r="A69" s="2013">
        <v>2</v>
      </c>
      <c r="B69" s="2015">
        <v>1</v>
      </c>
      <c r="C69" s="1127" t="s">
        <v>286</v>
      </c>
      <c r="D69" s="1302" t="s">
        <v>633</v>
      </c>
      <c r="E69" s="2018" t="s">
        <v>634</v>
      </c>
      <c r="F69" s="2050">
        <v>16</v>
      </c>
      <c r="G69" s="2057" t="s">
        <v>224</v>
      </c>
      <c r="H69" s="2052">
        <v>5972</v>
      </c>
      <c r="I69" s="1687">
        <v>5972</v>
      </c>
      <c r="J69" s="1687">
        <v>4559</v>
      </c>
      <c r="K69" s="1693"/>
      <c r="L69" s="2052">
        <v>4716</v>
      </c>
      <c r="M69" s="1687">
        <v>4716</v>
      </c>
      <c r="N69" s="1687">
        <v>3600</v>
      </c>
      <c r="O69" s="1693"/>
      <c r="P69" s="2058">
        <v>5972</v>
      </c>
      <c r="Q69" s="2058">
        <v>5972</v>
      </c>
      <c r="R69" s="2053" t="s">
        <v>635</v>
      </c>
      <c r="S69" s="889"/>
      <c r="T69" s="890"/>
      <c r="U69" s="888"/>
    </row>
    <row r="70" spans="1:21" ht="14.25" hidden="1" customHeight="1" outlineLevel="1" x14ac:dyDescent="0.2">
      <c r="A70" s="2014"/>
      <c r="B70" s="2002"/>
      <c r="C70" s="1128"/>
      <c r="D70" s="1381"/>
      <c r="E70" s="2055"/>
      <c r="F70" s="2056"/>
      <c r="G70" s="2057"/>
      <c r="H70" s="2052"/>
      <c r="I70" s="1687"/>
      <c r="J70" s="1687"/>
      <c r="K70" s="1693"/>
      <c r="L70" s="2052"/>
      <c r="M70" s="1687"/>
      <c r="N70" s="1687"/>
      <c r="O70" s="1693"/>
      <c r="P70" s="2058"/>
      <c r="Q70" s="2058"/>
      <c r="R70" s="2053"/>
      <c r="S70" s="551">
        <f>SUM(S69)</f>
        <v>0</v>
      </c>
      <c r="T70" s="552"/>
      <c r="U70" s="553">
        <f>SUM(U69)</f>
        <v>0</v>
      </c>
    </row>
    <row r="71" spans="1:21" ht="43.5" hidden="1" customHeight="1" outlineLevel="1" x14ac:dyDescent="0.2">
      <c r="A71" s="2014"/>
      <c r="B71" s="2002"/>
      <c r="C71" s="1128"/>
      <c r="D71" s="1381"/>
      <c r="E71" s="2055"/>
      <c r="F71" s="2056"/>
      <c r="G71" s="940" t="s">
        <v>226</v>
      </c>
      <c r="H71" s="191">
        <v>579</v>
      </c>
      <c r="I71" s="875">
        <v>579</v>
      </c>
      <c r="J71" s="875"/>
      <c r="K71" s="876"/>
      <c r="L71" s="191">
        <v>579</v>
      </c>
      <c r="M71" s="875">
        <v>579</v>
      </c>
      <c r="N71" s="875"/>
      <c r="O71" s="876"/>
      <c r="P71" s="14">
        <v>579</v>
      </c>
      <c r="Q71" s="14">
        <v>579</v>
      </c>
      <c r="R71" s="2053" t="s">
        <v>636</v>
      </c>
      <c r="S71" s="889">
        <v>4.5</v>
      </c>
      <c r="T71" s="890"/>
      <c r="U71" s="888">
        <v>4.5</v>
      </c>
    </row>
    <row r="72" spans="1:21" ht="15" hidden="1" customHeight="1" outlineLevel="1" x14ac:dyDescent="0.2">
      <c r="A72" s="2014"/>
      <c r="B72" s="2047"/>
      <c r="C72" s="2054"/>
      <c r="D72" s="2048"/>
      <c r="E72" s="2051"/>
      <c r="F72" s="2051"/>
      <c r="G72" s="925" t="s">
        <v>624</v>
      </c>
      <c r="H72" s="28">
        <f>SUM(H69:H71)</f>
        <v>6551</v>
      </c>
      <c r="I72" s="26">
        <f t="shared" ref="I72:Q72" si="22">SUM(I69:I71)</f>
        <v>6551</v>
      </c>
      <c r="J72" s="26">
        <f t="shared" si="22"/>
        <v>4559</v>
      </c>
      <c r="K72" s="31">
        <f t="shared" si="22"/>
        <v>0</v>
      </c>
      <c r="L72" s="28">
        <f t="shared" si="22"/>
        <v>5295</v>
      </c>
      <c r="M72" s="26">
        <f t="shared" si="22"/>
        <v>5295</v>
      </c>
      <c r="N72" s="26">
        <f t="shared" si="22"/>
        <v>3600</v>
      </c>
      <c r="O72" s="31">
        <f t="shared" si="22"/>
        <v>0</v>
      </c>
      <c r="P72" s="32">
        <f t="shared" si="22"/>
        <v>6551</v>
      </c>
      <c r="Q72" s="32">
        <f t="shared" si="22"/>
        <v>6551</v>
      </c>
      <c r="R72" s="2053"/>
      <c r="S72" s="287">
        <f>SUM(S71)</f>
        <v>4.5</v>
      </c>
      <c r="T72" s="288"/>
      <c r="U72" s="289">
        <f>SUM(U71)</f>
        <v>4.5</v>
      </c>
    </row>
    <row r="73" spans="1:21" ht="23.25" hidden="1" customHeight="1" outlineLevel="1" x14ac:dyDescent="0.2">
      <c r="A73" s="2013">
        <v>2</v>
      </c>
      <c r="B73" s="2015">
        <v>1</v>
      </c>
      <c r="C73" s="1127" t="s">
        <v>289</v>
      </c>
      <c r="D73" s="1302" t="s">
        <v>633</v>
      </c>
      <c r="E73" s="2018" t="s">
        <v>634</v>
      </c>
      <c r="F73" s="2050">
        <v>17</v>
      </c>
      <c r="G73" s="2057" t="s">
        <v>224</v>
      </c>
      <c r="H73" s="2052">
        <v>1500</v>
      </c>
      <c r="I73" s="1687">
        <v>1500</v>
      </c>
      <c r="J73" s="1687"/>
      <c r="K73" s="1693"/>
      <c r="L73" s="2052">
        <v>100</v>
      </c>
      <c r="M73" s="1687">
        <v>100</v>
      </c>
      <c r="N73" s="1687"/>
      <c r="O73" s="1693"/>
      <c r="P73" s="2058">
        <v>1600</v>
      </c>
      <c r="Q73" s="2058">
        <v>1800</v>
      </c>
      <c r="R73" s="2053" t="s">
        <v>635</v>
      </c>
      <c r="S73" s="889"/>
      <c r="T73" s="890"/>
      <c r="U73" s="888"/>
    </row>
    <row r="74" spans="1:21" ht="14.25" hidden="1" customHeight="1" outlineLevel="1" x14ac:dyDescent="0.2">
      <c r="A74" s="2014"/>
      <c r="B74" s="2002"/>
      <c r="C74" s="1128"/>
      <c r="D74" s="1381"/>
      <c r="E74" s="2055"/>
      <c r="F74" s="2056"/>
      <c r="G74" s="2057"/>
      <c r="H74" s="2052"/>
      <c r="I74" s="1687"/>
      <c r="J74" s="1687"/>
      <c r="K74" s="1693"/>
      <c r="L74" s="2052"/>
      <c r="M74" s="1687"/>
      <c r="N74" s="1687"/>
      <c r="O74" s="1693"/>
      <c r="P74" s="2058"/>
      <c r="Q74" s="2058"/>
      <c r="R74" s="2053"/>
      <c r="S74" s="551">
        <f>SUM(S73)</f>
        <v>0</v>
      </c>
      <c r="T74" s="552"/>
      <c r="U74" s="553">
        <f>SUM(U73)</f>
        <v>0</v>
      </c>
    </row>
    <row r="75" spans="1:21" ht="43.5" hidden="1" customHeight="1" outlineLevel="1" x14ac:dyDescent="0.2">
      <c r="A75" s="2014"/>
      <c r="B75" s="2002"/>
      <c r="C75" s="1128"/>
      <c r="D75" s="1381"/>
      <c r="E75" s="2055"/>
      <c r="F75" s="2056"/>
      <c r="G75" s="940" t="s">
        <v>226</v>
      </c>
      <c r="H75" s="191"/>
      <c r="I75" s="875"/>
      <c r="J75" s="875"/>
      <c r="K75" s="876"/>
      <c r="L75" s="191"/>
      <c r="M75" s="875"/>
      <c r="N75" s="875"/>
      <c r="O75" s="876"/>
      <c r="P75" s="14"/>
      <c r="Q75" s="14"/>
      <c r="R75" s="2053" t="s">
        <v>636</v>
      </c>
      <c r="S75" s="889">
        <v>2</v>
      </c>
      <c r="T75" s="890"/>
      <c r="U75" s="888">
        <v>2</v>
      </c>
    </row>
    <row r="76" spans="1:21" ht="15" hidden="1" customHeight="1" outlineLevel="1" x14ac:dyDescent="0.2">
      <c r="A76" s="2014"/>
      <c r="B76" s="2047"/>
      <c r="C76" s="2054"/>
      <c r="D76" s="2048"/>
      <c r="E76" s="2051"/>
      <c r="F76" s="2051"/>
      <c r="G76" s="925" t="s">
        <v>624</v>
      </c>
      <c r="H76" s="28">
        <f>SUM(H73:H75)</f>
        <v>1500</v>
      </c>
      <c r="I76" s="26">
        <f t="shared" ref="I76:Q76" si="23">SUM(I73:I75)</f>
        <v>1500</v>
      </c>
      <c r="J76" s="26">
        <f t="shared" si="23"/>
        <v>0</v>
      </c>
      <c r="K76" s="31">
        <f t="shared" si="23"/>
        <v>0</v>
      </c>
      <c r="L76" s="28">
        <f t="shared" si="23"/>
        <v>100</v>
      </c>
      <c r="M76" s="26">
        <f t="shared" si="23"/>
        <v>100</v>
      </c>
      <c r="N76" s="26">
        <f t="shared" si="23"/>
        <v>0</v>
      </c>
      <c r="O76" s="31">
        <f t="shared" si="23"/>
        <v>0</v>
      </c>
      <c r="P76" s="32">
        <f t="shared" si="23"/>
        <v>1600</v>
      </c>
      <c r="Q76" s="32">
        <f t="shared" si="23"/>
        <v>1800</v>
      </c>
      <c r="R76" s="2053"/>
      <c r="S76" s="287">
        <f>SUM(S75)</f>
        <v>2</v>
      </c>
      <c r="T76" s="288"/>
      <c r="U76" s="289">
        <f>SUM(U75)</f>
        <v>2</v>
      </c>
    </row>
    <row r="77" spans="1:21" ht="23.25" hidden="1" customHeight="1" outlineLevel="1" x14ac:dyDescent="0.2">
      <c r="A77" s="2013">
        <v>2</v>
      </c>
      <c r="B77" s="2015">
        <v>1</v>
      </c>
      <c r="C77" s="1127" t="s">
        <v>331</v>
      </c>
      <c r="D77" s="1302" t="s">
        <v>633</v>
      </c>
      <c r="E77" s="2018" t="s">
        <v>634</v>
      </c>
      <c r="F77" s="2050">
        <v>18</v>
      </c>
      <c r="G77" s="2057" t="s">
        <v>224</v>
      </c>
      <c r="H77" s="2052">
        <v>81300</v>
      </c>
      <c r="I77" s="1687">
        <v>81300</v>
      </c>
      <c r="J77" s="1687">
        <v>7500</v>
      </c>
      <c r="K77" s="1693"/>
      <c r="L77" s="2052">
        <v>38988</v>
      </c>
      <c r="M77" s="1687">
        <v>38988</v>
      </c>
      <c r="N77" s="1687">
        <v>7500</v>
      </c>
      <c r="O77" s="1693"/>
      <c r="P77" s="2058">
        <v>90000</v>
      </c>
      <c r="Q77" s="2058">
        <v>95000</v>
      </c>
      <c r="R77" s="2053" t="s">
        <v>635</v>
      </c>
      <c r="S77" s="889">
        <v>1</v>
      </c>
      <c r="T77" s="890"/>
      <c r="U77" s="888">
        <v>1</v>
      </c>
    </row>
    <row r="78" spans="1:21" ht="14.25" hidden="1" customHeight="1" outlineLevel="1" x14ac:dyDescent="0.2">
      <c r="A78" s="2014"/>
      <c r="B78" s="2002"/>
      <c r="C78" s="1128"/>
      <c r="D78" s="1381"/>
      <c r="E78" s="2055"/>
      <c r="F78" s="2056"/>
      <c r="G78" s="2057"/>
      <c r="H78" s="2052"/>
      <c r="I78" s="1687"/>
      <c r="J78" s="1687"/>
      <c r="K78" s="1693"/>
      <c r="L78" s="2052"/>
      <c r="M78" s="1687"/>
      <c r="N78" s="1687"/>
      <c r="O78" s="1693"/>
      <c r="P78" s="2058"/>
      <c r="Q78" s="2058"/>
      <c r="R78" s="2053"/>
      <c r="S78" s="551">
        <f>SUM(S77)</f>
        <v>1</v>
      </c>
      <c r="T78" s="552"/>
      <c r="U78" s="553">
        <f>SUM(U77)</f>
        <v>1</v>
      </c>
    </row>
    <row r="79" spans="1:21" ht="43.5" hidden="1" customHeight="1" outlineLevel="1" x14ac:dyDescent="0.2">
      <c r="A79" s="2014"/>
      <c r="B79" s="2002"/>
      <c r="C79" s="1128"/>
      <c r="D79" s="1381"/>
      <c r="E79" s="2055"/>
      <c r="F79" s="2056"/>
      <c r="G79" s="940" t="s">
        <v>226</v>
      </c>
      <c r="H79" s="191"/>
      <c r="I79" s="875"/>
      <c r="J79" s="875"/>
      <c r="K79" s="876"/>
      <c r="L79" s="191"/>
      <c r="M79" s="875"/>
      <c r="N79" s="875"/>
      <c r="O79" s="876"/>
      <c r="P79" s="14"/>
      <c r="Q79" s="14"/>
      <c r="R79" s="2053" t="s">
        <v>636</v>
      </c>
      <c r="S79" s="889">
        <v>231.4</v>
      </c>
      <c r="T79" s="890"/>
      <c r="U79" s="888">
        <v>231.4</v>
      </c>
    </row>
    <row r="80" spans="1:21" ht="15" hidden="1" customHeight="1" outlineLevel="1" x14ac:dyDescent="0.2">
      <c r="A80" s="2014"/>
      <c r="B80" s="2047"/>
      <c r="C80" s="2054"/>
      <c r="D80" s="2048"/>
      <c r="E80" s="2051"/>
      <c r="F80" s="2051"/>
      <c r="G80" s="925" t="s">
        <v>624</v>
      </c>
      <c r="H80" s="28">
        <f>SUM(H77:H79)</f>
        <v>81300</v>
      </c>
      <c r="I80" s="26">
        <f t="shared" ref="I80:Q80" si="24">SUM(I77:I79)</f>
        <v>81300</v>
      </c>
      <c r="J80" s="26">
        <f t="shared" si="24"/>
        <v>7500</v>
      </c>
      <c r="K80" s="31">
        <f t="shared" si="24"/>
        <v>0</v>
      </c>
      <c r="L80" s="28">
        <f t="shared" si="24"/>
        <v>38988</v>
      </c>
      <c r="M80" s="26">
        <f t="shared" si="24"/>
        <v>38988</v>
      </c>
      <c r="N80" s="26">
        <f t="shared" si="24"/>
        <v>7500</v>
      </c>
      <c r="O80" s="31">
        <f t="shared" si="24"/>
        <v>0</v>
      </c>
      <c r="P80" s="32">
        <f t="shared" si="24"/>
        <v>90000</v>
      </c>
      <c r="Q80" s="32">
        <f t="shared" si="24"/>
        <v>95000</v>
      </c>
      <c r="R80" s="2053"/>
      <c r="S80" s="287">
        <f>SUM(S79)</f>
        <v>231.4</v>
      </c>
      <c r="T80" s="288"/>
      <c r="U80" s="289">
        <f>SUM(U79)</f>
        <v>231.4</v>
      </c>
    </row>
    <row r="81" spans="1:29" ht="23.25" hidden="1" customHeight="1" outlineLevel="1" x14ac:dyDescent="0.2">
      <c r="A81" s="2013">
        <v>2</v>
      </c>
      <c r="B81" s="2015">
        <v>1</v>
      </c>
      <c r="C81" s="1127" t="s">
        <v>292</v>
      </c>
      <c r="D81" s="1302" t="s">
        <v>633</v>
      </c>
      <c r="E81" s="2018" t="s">
        <v>634</v>
      </c>
      <c r="F81" s="2050">
        <v>19</v>
      </c>
      <c r="G81" s="2057" t="s">
        <v>224</v>
      </c>
      <c r="H81" s="2052">
        <v>4900</v>
      </c>
      <c r="I81" s="1687">
        <v>4900</v>
      </c>
      <c r="J81" s="1687">
        <v>2700</v>
      </c>
      <c r="K81" s="1693"/>
      <c r="L81" s="2052">
        <v>3430</v>
      </c>
      <c r="M81" s="1687">
        <v>3430</v>
      </c>
      <c r="N81" s="1687">
        <v>2252</v>
      </c>
      <c r="O81" s="1693"/>
      <c r="P81" s="2058">
        <v>5400</v>
      </c>
      <c r="Q81" s="2058">
        <v>6000</v>
      </c>
      <c r="R81" s="2053" t="s">
        <v>635</v>
      </c>
      <c r="S81" s="889"/>
      <c r="T81" s="890"/>
      <c r="U81" s="888"/>
    </row>
    <row r="82" spans="1:29" ht="14.25" hidden="1" customHeight="1" outlineLevel="1" x14ac:dyDescent="0.2">
      <c r="A82" s="2014"/>
      <c r="B82" s="2002"/>
      <c r="C82" s="1128"/>
      <c r="D82" s="1381"/>
      <c r="E82" s="2055"/>
      <c r="F82" s="2056"/>
      <c r="G82" s="2057"/>
      <c r="H82" s="2052"/>
      <c r="I82" s="1687"/>
      <c r="J82" s="1687"/>
      <c r="K82" s="1693"/>
      <c r="L82" s="2052"/>
      <c r="M82" s="1687"/>
      <c r="N82" s="1687"/>
      <c r="O82" s="1693"/>
      <c r="P82" s="2058"/>
      <c r="Q82" s="2058"/>
      <c r="R82" s="2053"/>
      <c r="S82" s="551">
        <f>SUM(S81)</f>
        <v>0</v>
      </c>
      <c r="T82" s="552"/>
      <c r="U82" s="553">
        <f>SUM(U81)</f>
        <v>0</v>
      </c>
    </row>
    <row r="83" spans="1:29" ht="43.5" hidden="1" customHeight="1" outlineLevel="1" x14ac:dyDescent="0.2">
      <c r="A83" s="2014"/>
      <c r="B83" s="2002"/>
      <c r="C83" s="1128"/>
      <c r="D83" s="1381"/>
      <c r="E83" s="2055"/>
      <c r="F83" s="2056"/>
      <c r="G83" s="940" t="s">
        <v>226</v>
      </c>
      <c r="H83" s="191"/>
      <c r="I83" s="875"/>
      <c r="J83" s="875"/>
      <c r="K83" s="876"/>
      <c r="L83" s="191"/>
      <c r="M83" s="875"/>
      <c r="N83" s="875"/>
      <c r="O83" s="876"/>
      <c r="P83" s="14"/>
      <c r="Q83" s="14"/>
      <c r="R83" s="2053" t="s">
        <v>636</v>
      </c>
      <c r="S83" s="889">
        <v>4.5</v>
      </c>
      <c r="T83" s="890"/>
      <c r="U83" s="888">
        <v>4.5</v>
      </c>
    </row>
    <row r="84" spans="1:29" ht="15" hidden="1" customHeight="1" outlineLevel="1" x14ac:dyDescent="0.2">
      <c r="A84" s="2014"/>
      <c r="B84" s="2047"/>
      <c r="C84" s="2054"/>
      <c r="D84" s="2048"/>
      <c r="E84" s="2051"/>
      <c r="F84" s="2051"/>
      <c r="G84" s="925" t="s">
        <v>624</v>
      </c>
      <c r="H84" s="28">
        <f>SUM(H81:H83)</f>
        <v>4900</v>
      </c>
      <c r="I84" s="26">
        <f t="shared" ref="I84:Q84" si="25">SUM(I81:I83)</f>
        <v>4900</v>
      </c>
      <c r="J84" s="26">
        <f t="shared" si="25"/>
        <v>2700</v>
      </c>
      <c r="K84" s="31">
        <f t="shared" si="25"/>
        <v>0</v>
      </c>
      <c r="L84" s="28">
        <f t="shared" si="25"/>
        <v>3430</v>
      </c>
      <c r="M84" s="26">
        <f t="shared" si="25"/>
        <v>3430</v>
      </c>
      <c r="N84" s="26">
        <f t="shared" si="25"/>
        <v>2252</v>
      </c>
      <c r="O84" s="31">
        <f t="shared" si="25"/>
        <v>0</v>
      </c>
      <c r="P84" s="32">
        <f t="shared" si="25"/>
        <v>5400</v>
      </c>
      <c r="Q84" s="32">
        <f t="shared" si="25"/>
        <v>6000</v>
      </c>
      <c r="R84" s="2053"/>
      <c r="S84" s="287">
        <f>SUM(S83)</f>
        <v>4.5</v>
      </c>
      <c r="T84" s="288"/>
      <c r="U84" s="289">
        <f>SUM(U83)</f>
        <v>4.5</v>
      </c>
    </row>
    <row r="85" spans="1:29" ht="23.25" hidden="1" customHeight="1" outlineLevel="1" x14ac:dyDescent="0.2">
      <c r="A85" s="2013">
        <v>2</v>
      </c>
      <c r="B85" s="2015">
        <v>1</v>
      </c>
      <c r="C85" s="1127" t="s">
        <v>296</v>
      </c>
      <c r="D85" s="1302" t="s">
        <v>633</v>
      </c>
      <c r="E85" s="2018" t="s">
        <v>634</v>
      </c>
      <c r="F85" s="2050">
        <v>20</v>
      </c>
      <c r="G85" s="2057" t="s">
        <v>224</v>
      </c>
      <c r="H85" s="2052">
        <v>2791</v>
      </c>
      <c r="I85" s="1687">
        <v>2791</v>
      </c>
      <c r="J85" s="1687">
        <v>1800</v>
      </c>
      <c r="K85" s="1693"/>
      <c r="L85" s="2052">
        <v>2458</v>
      </c>
      <c r="M85" s="1687">
        <v>2458</v>
      </c>
      <c r="N85" s="1687">
        <v>1800</v>
      </c>
      <c r="O85" s="1693"/>
      <c r="P85" s="2058">
        <v>5294</v>
      </c>
      <c r="Q85" s="2058">
        <v>5294</v>
      </c>
      <c r="R85" s="2053" t="s">
        <v>635</v>
      </c>
      <c r="S85" s="889">
        <v>1</v>
      </c>
      <c r="T85" s="890"/>
      <c r="U85" s="888">
        <v>1</v>
      </c>
    </row>
    <row r="86" spans="1:29" ht="14.25" hidden="1" customHeight="1" outlineLevel="1" x14ac:dyDescent="0.2">
      <c r="A86" s="2014"/>
      <c r="B86" s="2002"/>
      <c r="C86" s="1128"/>
      <c r="D86" s="1381"/>
      <c r="E86" s="2055"/>
      <c r="F86" s="2056"/>
      <c r="G86" s="2057"/>
      <c r="H86" s="2052"/>
      <c r="I86" s="1687"/>
      <c r="J86" s="1687"/>
      <c r="K86" s="1693"/>
      <c r="L86" s="2052"/>
      <c r="M86" s="1687"/>
      <c r="N86" s="1687"/>
      <c r="O86" s="1693"/>
      <c r="P86" s="2058"/>
      <c r="Q86" s="2058"/>
      <c r="R86" s="2053"/>
      <c r="S86" s="551">
        <f>SUM(S85)</f>
        <v>1</v>
      </c>
      <c r="T86" s="552"/>
      <c r="U86" s="553">
        <f>SUM(U85)</f>
        <v>1</v>
      </c>
    </row>
    <row r="87" spans="1:29" ht="43.5" hidden="1" customHeight="1" outlineLevel="1" x14ac:dyDescent="0.2">
      <c r="A87" s="2014"/>
      <c r="B87" s="2002"/>
      <c r="C87" s="1128"/>
      <c r="D87" s="1381"/>
      <c r="E87" s="2055"/>
      <c r="F87" s="2056"/>
      <c r="G87" s="940" t="s">
        <v>226</v>
      </c>
      <c r="H87" s="191"/>
      <c r="I87" s="875"/>
      <c r="J87" s="875"/>
      <c r="K87" s="876"/>
      <c r="L87" s="191">
        <v>300</v>
      </c>
      <c r="M87" s="875">
        <v>300</v>
      </c>
      <c r="N87" s="875"/>
      <c r="O87" s="876"/>
      <c r="P87" s="14"/>
      <c r="Q87" s="14"/>
      <c r="R87" s="2053" t="s">
        <v>636</v>
      </c>
      <c r="S87" s="889">
        <v>13.8</v>
      </c>
      <c r="T87" s="890"/>
      <c r="U87" s="888">
        <v>13.8</v>
      </c>
    </row>
    <row r="88" spans="1:29" ht="15" hidden="1" customHeight="1" outlineLevel="1" x14ac:dyDescent="0.2">
      <c r="A88" s="2014"/>
      <c r="B88" s="2047"/>
      <c r="C88" s="2054"/>
      <c r="D88" s="2048"/>
      <c r="E88" s="2051"/>
      <c r="F88" s="2051"/>
      <c r="G88" s="925" t="s">
        <v>624</v>
      </c>
      <c r="H88" s="28">
        <f>SUM(H85:H87)</f>
        <v>2791</v>
      </c>
      <c r="I88" s="26">
        <f t="shared" ref="I88:Q88" si="26">SUM(I85:I87)</f>
        <v>2791</v>
      </c>
      <c r="J88" s="26">
        <f t="shared" si="26"/>
        <v>1800</v>
      </c>
      <c r="K88" s="31">
        <f t="shared" si="26"/>
        <v>0</v>
      </c>
      <c r="L88" s="28">
        <f t="shared" si="26"/>
        <v>2758</v>
      </c>
      <c r="M88" s="26">
        <f t="shared" si="26"/>
        <v>2758</v>
      </c>
      <c r="N88" s="26">
        <f t="shared" si="26"/>
        <v>1800</v>
      </c>
      <c r="O88" s="31">
        <f t="shared" si="26"/>
        <v>0</v>
      </c>
      <c r="P88" s="32">
        <f t="shared" si="26"/>
        <v>5294</v>
      </c>
      <c r="Q88" s="32">
        <f t="shared" si="26"/>
        <v>5294</v>
      </c>
      <c r="R88" s="2053"/>
      <c r="S88" s="287">
        <f>SUM(S87)</f>
        <v>13.8</v>
      </c>
      <c r="T88" s="288"/>
      <c r="U88" s="289">
        <f>SUM(U87)</f>
        <v>13.8</v>
      </c>
    </row>
    <row r="89" spans="1:29" ht="23.25" hidden="1" customHeight="1" outlineLevel="1" x14ac:dyDescent="0.2">
      <c r="A89" s="2013">
        <v>2</v>
      </c>
      <c r="B89" s="2015">
        <v>1</v>
      </c>
      <c r="C89" s="1127" t="s">
        <v>298</v>
      </c>
      <c r="D89" s="1302" t="s">
        <v>633</v>
      </c>
      <c r="E89" s="2018" t="s">
        <v>634</v>
      </c>
      <c r="F89" s="2050">
        <v>21</v>
      </c>
      <c r="G89" s="2057" t="s">
        <v>224</v>
      </c>
      <c r="H89" s="2052">
        <v>9555</v>
      </c>
      <c r="I89" s="1687">
        <v>8773</v>
      </c>
      <c r="J89" s="1687">
        <v>5460</v>
      </c>
      <c r="K89" s="1693">
        <v>782</v>
      </c>
      <c r="L89" s="2052">
        <v>3006</v>
      </c>
      <c r="M89" s="1687">
        <v>3006</v>
      </c>
      <c r="N89" s="1687">
        <v>2176</v>
      </c>
      <c r="O89" s="1693"/>
      <c r="P89" s="2058">
        <v>12528</v>
      </c>
      <c r="Q89" s="2058">
        <v>13780</v>
      </c>
      <c r="R89" s="2053" t="s">
        <v>635</v>
      </c>
      <c r="S89" s="889">
        <v>1</v>
      </c>
      <c r="T89" s="890"/>
      <c r="U89" s="888">
        <v>1</v>
      </c>
    </row>
    <row r="90" spans="1:29" ht="14.25" hidden="1" customHeight="1" outlineLevel="1" x14ac:dyDescent="0.2">
      <c r="A90" s="2014"/>
      <c r="B90" s="2002"/>
      <c r="C90" s="1128"/>
      <c r="D90" s="1381"/>
      <c r="E90" s="2055"/>
      <c r="F90" s="2056"/>
      <c r="G90" s="2057"/>
      <c r="H90" s="2052"/>
      <c r="I90" s="1687"/>
      <c r="J90" s="1687"/>
      <c r="K90" s="1693"/>
      <c r="L90" s="2052"/>
      <c r="M90" s="1687"/>
      <c r="N90" s="1687"/>
      <c r="O90" s="1693"/>
      <c r="P90" s="2058"/>
      <c r="Q90" s="2058"/>
      <c r="R90" s="2053"/>
      <c r="S90" s="551">
        <f>SUM(S89)</f>
        <v>1</v>
      </c>
      <c r="T90" s="552"/>
      <c r="U90" s="553">
        <f>SUM(U89)</f>
        <v>1</v>
      </c>
    </row>
    <row r="91" spans="1:29" ht="43.5" hidden="1" customHeight="1" outlineLevel="1" x14ac:dyDescent="0.2">
      <c r="A91" s="2014"/>
      <c r="B91" s="2002"/>
      <c r="C91" s="1128"/>
      <c r="D91" s="1381"/>
      <c r="E91" s="2055"/>
      <c r="F91" s="2056"/>
      <c r="G91" s="940" t="s">
        <v>226</v>
      </c>
      <c r="H91" s="191"/>
      <c r="I91" s="875"/>
      <c r="J91" s="875"/>
      <c r="K91" s="876"/>
      <c r="L91" s="191"/>
      <c r="M91" s="875"/>
      <c r="N91" s="875"/>
      <c r="O91" s="876"/>
      <c r="P91" s="14"/>
      <c r="Q91" s="14"/>
      <c r="R91" s="2053" t="s">
        <v>636</v>
      </c>
      <c r="S91" s="889">
        <v>15</v>
      </c>
      <c r="T91" s="890"/>
      <c r="U91" s="888">
        <v>15</v>
      </c>
    </row>
    <row r="92" spans="1:29" ht="15" hidden="1" customHeight="1" outlineLevel="1" x14ac:dyDescent="0.2">
      <c r="A92" s="2014"/>
      <c r="B92" s="2047"/>
      <c r="C92" s="2054"/>
      <c r="D92" s="2048"/>
      <c r="E92" s="2051"/>
      <c r="F92" s="2051"/>
      <c r="G92" s="925" t="s">
        <v>624</v>
      </c>
      <c r="H92" s="28">
        <f>SUM(H89:H91)</f>
        <v>9555</v>
      </c>
      <c r="I92" s="26">
        <f t="shared" ref="I92:Q92" si="27">SUM(I89:I91)</f>
        <v>8773</v>
      </c>
      <c r="J92" s="26">
        <f t="shared" si="27"/>
        <v>5460</v>
      </c>
      <c r="K92" s="31">
        <f t="shared" si="27"/>
        <v>782</v>
      </c>
      <c r="L92" s="28">
        <f t="shared" si="27"/>
        <v>3006</v>
      </c>
      <c r="M92" s="26">
        <f t="shared" si="27"/>
        <v>3006</v>
      </c>
      <c r="N92" s="26">
        <f t="shared" si="27"/>
        <v>2176</v>
      </c>
      <c r="O92" s="31">
        <f t="shared" si="27"/>
        <v>0</v>
      </c>
      <c r="P92" s="32">
        <f t="shared" si="27"/>
        <v>12528</v>
      </c>
      <c r="Q92" s="32">
        <f t="shared" si="27"/>
        <v>13780</v>
      </c>
      <c r="R92" s="2053"/>
      <c r="S92" s="287">
        <f>SUM(S91)</f>
        <v>15</v>
      </c>
      <c r="T92" s="288"/>
      <c r="U92" s="289">
        <f>SUM(U91)</f>
        <v>15</v>
      </c>
    </row>
    <row r="93" spans="1:29" ht="30" customHeight="1" collapsed="1" x14ac:dyDescent="0.2">
      <c r="A93" s="2013">
        <v>2</v>
      </c>
      <c r="B93" s="2015">
        <v>1</v>
      </c>
      <c r="C93" s="1414">
        <v>3</v>
      </c>
      <c r="D93" s="1302" t="s">
        <v>637</v>
      </c>
      <c r="E93" s="2018" t="s">
        <v>638</v>
      </c>
      <c r="F93" s="2050">
        <v>1</v>
      </c>
      <c r="G93" s="940" t="s">
        <v>224</v>
      </c>
      <c r="H93" s="191">
        <v>20</v>
      </c>
      <c r="I93" s="875">
        <v>20</v>
      </c>
      <c r="J93" s="875"/>
      <c r="K93" s="876"/>
      <c r="L93" s="191">
        <v>20</v>
      </c>
      <c r="M93" s="875">
        <v>20</v>
      </c>
      <c r="N93" s="875"/>
      <c r="O93" s="876"/>
      <c r="P93" s="14">
        <v>19</v>
      </c>
      <c r="Q93" s="14">
        <v>25</v>
      </c>
      <c r="R93" s="2022" t="s">
        <v>639</v>
      </c>
      <c r="S93" s="889">
        <v>100</v>
      </c>
      <c r="T93" s="890">
        <v>100</v>
      </c>
      <c r="U93" s="1366"/>
      <c r="W93" s="927"/>
      <c r="X93" s="927"/>
      <c r="Y93" s="927"/>
      <c r="Z93" s="927"/>
      <c r="AA93" s="927"/>
      <c r="AB93" s="927"/>
      <c r="AC93" s="927"/>
    </row>
    <row r="94" spans="1:29" ht="20.25" customHeight="1" thickBot="1" x14ac:dyDescent="0.25">
      <c r="A94" s="2014"/>
      <c r="B94" s="2047"/>
      <c r="C94" s="2047"/>
      <c r="D94" s="2048"/>
      <c r="E94" s="2049"/>
      <c r="F94" s="2051"/>
      <c r="G94" s="925" t="s">
        <v>624</v>
      </c>
      <c r="H94" s="39">
        <f>SUM(H93)</f>
        <v>20</v>
      </c>
      <c r="I94" s="40">
        <f t="shared" ref="I94:Q94" si="28">SUM(I93)</f>
        <v>20</v>
      </c>
      <c r="J94" s="40">
        <f t="shared" si="28"/>
        <v>0</v>
      </c>
      <c r="K94" s="42">
        <f t="shared" si="28"/>
        <v>0</v>
      </c>
      <c r="L94" s="39">
        <f t="shared" si="28"/>
        <v>20</v>
      </c>
      <c r="M94" s="40">
        <f t="shared" si="28"/>
        <v>20</v>
      </c>
      <c r="N94" s="40">
        <f t="shared" si="28"/>
        <v>0</v>
      </c>
      <c r="O94" s="42">
        <f t="shared" si="28"/>
        <v>0</v>
      </c>
      <c r="P94" s="43">
        <f t="shared" si="28"/>
        <v>19</v>
      </c>
      <c r="Q94" s="43">
        <f t="shared" si="28"/>
        <v>25</v>
      </c>
      <c r="R94" s="2023"/>
      <c r="S94" s="608">
        <v>100</v>
      </c>
      <c r="T94" s="614">
        <v>100</v>
      </c>
      <c r="U94" s="1454"/>
    </row>
    <row r="95" spans="1:29" ht="15.75" customHeight="1" thickBot="1" x14ac:dyDescent="0.25">
      <c r="A95" s="933">
        <v>2</v>
      </c>
      <c r="B95" s="813">
        <v>1</v>
      </c>
      <c r="C95" s="1991" t="s">
        <v>14</v>
      </c>
      <c r="D95" s="1992"/>
      <c r="E95" s="1992"/>
      <c r="F95" s="1992"/>
      <c r="G95" s="1992"/>
      <c r="H95" s="45">
        <f>SUM(H40,H60,H94)</f>
        <v>259.79999999999995</v>
      </c>
      <c r="I95" s="45">
        <f t="shared" ref="I95:Q95" si="29">SUM(I40,I60,I94)</f>
        <v>243.1</v>
      </c>
      <c r="J95" s="45">
        <f t="shared" si="29"/>
        <v>45.9</v>
      </c>
      <c r="K95" s="45">
        <f t="shared" si="29"/>
        <v>16.7</v>
      </c>
      <c r="L95" s="45">
        <f t="shared" si="29"/>
        <v>292.5</v>
      </c>
      <c r="M95" s="45">
        <f t="shared" si="29"/>
        <v>275.8</v>
      </c>
      <c r="N95" s="45">
        <f t="shared" si="29"/>
        <v>51.1</v>
      </c>
      <c r="O95" s="45">
        <f t="shared" si="29"/>
        <v>22.799999999999997</v>
      </c>
      <c r="P95" s="45">
        <f t="shared" si="29"/>
        <v>369.6</v>
      </c>
      <c r="Q95" s="71">
        <f t="shared" si="29"/>
        <v>396.4</v>
      </c>
      <c r="R95" s="818" t="s">
        <v>23</v>
      </c>
      <c r="S95" s="812" t="s">
        <v>23</v>
      </c>
      <c r="T95" s="813" t="s">
        <v>23</v>
      </c>
      <c r="U95" s="814" t="s">
        <v>23</v>
      </c>
    </row>
    <row r="96" spans="1:29" ht="14.25" customHeight="1" thickBot="1" x14ac:dyDescent="0.25">
      <c r="A96" s="921">
        <v>2</v>
      </c>
      <c r="B96" s="922">
        <v>2</v>
      </c>
      <c r="C96" s="2032" t="s">
        <v>640</v>
      </c>
      <c r="D96" s="2033"/>
      <c r="E96" s="2033"/>
      <c r="F96" s="2033"/>
      <c r="G96" s="2033"/>
      <c r="H96" s="2034"/>
      <c r="I96" s="2034"/>
      <c r="J96" s="2034"/>
      <c r="K96" s="2034"/>
      <c r="L96" s="2034"/>
      <c r="M96" s="2034"/>
      <c r="N96" s="2034"/>
      <c r="O96" s="2034"/>
      <c r="P96" s="2034"/>
      <c r="Q96" s="2034"/>
      <c r="R96" s="2033"/>
      <c r="S96" s="2034"/>
      <c r="T96" s="2034"/>
      <c r="U96" s="2035"/>
      <c r="V96" s="537"/>
      <c r="W96" s="537"/>
      <c r="X96" s="537"/>
    </row>
    <row r="97" spans="1:29" ht="17.25" customHeight="1" x14ac:dyDescent="0.2">
      <c r="A97" s="2036">
        <v>2</v>
      </c>
      <c r="B97" s="2037">
        <v>2</v>
      </c>
      <c r="C97" s="2039">
        <v>1</v>
      </c>
      <c r="D97" s="2040" t="s">
        <v>641</v>
      </c>
      <c r="E97" s="2042" t="s">
        <v>642</v>
      </c>
      <c r="F97" s="2043">
        <v>1</v>
      </c>
      <c r="G97" s="941" t="s">
        <v>224</v>
      </c>
      <c r="H97" s="878">
        <v>576.9</v>
      </c>
      <c r="I97" s="878">
        <v>576.9</v>
      </c>
      <c r="J97" s="878"/>
      <c r="K97" s="879"/>
      <c r="L97" s="878">
        <v>576.9</v>
      </c>
      <c r="M97" s="878">
        <v>576.9</v>
      </c>
      <c r="N97" s="878"/>
      <c r="O97" s="879"/>
      <c r="P97" s="12">
        <v>530</v>
      </c>
      <c r="Q97" s="12">
        <v>530</v>
      </c>
      <c r="R97" s="2045" t="s">
        <v>643</v>
      </c>
      <c r="S97" s="425">
        <v>8500</v>
      </c>
      <c r="T97" s="942">
        <v>7152.03</v>
      </c>
      <c r="U97" s="1453"/>
      <c r="V97" s="93"/>
    </row>
    <row r="98" spans="1:29" ht="15.75" customHeight="1" x14ac:dyDescent="0.2">
      <c r="A98" s="2013"/>
      <c r="B98" s="2038"/>
      <c r="C98" s="2038"/>
      <c r="D98" s="2041"/>
      <c r="E98" s="2029"/>
      <c r="F98" s="2044"/>
      <c r="G98" s="943" t="s">
        <v>624</v>
      </c>
      <c r="H98" s="28">
        <f>SUM(H97)</f>
        <v>576.9</v>
      </c>
      <c r="I98" s="26">
        <f t="shared" ref="I98:Q98" si="30">SUM(I97:I97)</f>
        <v>576.9</v>
      </c>
      <c r="J98" s="26">
        <f t="shared" si="30"/>
        <v>0</v>
      </c>
      <c r="K98" s="31">
        <f t="shared" si="30"/>
        <v>0</v>
      </c>
      <c r="L98" s="28">
        <f t="shared" si="30"/>
        <v>576.9</v>
      </c>
      <c r="M98" s="26">
        <f t="shared" si="30"/>
        <v>576.9</v>
      </c>
      <c r="N98" s="26">
        <f t="shared" si="30"/>
        <v>0</v>
      </c>
      <c r="O98" s="31">
        <f t="shared" si="30"/>
        <v>0</v>
      </c>
      <c r="P98" s="32">
        <f t="shared" si="30"/>
        <v>530</v>
      </c>
      <c r="Q98" s="32">
        <f t="shared" si="30"/>
        <v>530</v>
      </c>
      <c r="R98" s="2046"/>
      <c r="S98" s="287">
        <f>SUM(S97:S97)</f>
        <v>8500</v>
      </c>
      <c r="T98" s="288">
        <f>SUM(T97:T97)</f>
        <v>7152.03</v>
      </c>
      <c r="U98" s="1368"/>
    </row>
    <row r="99" spans="1:29" ht="31.5" customHeight="1" x14ac:dyDescent="0.2">
      <c r="A99" s="2024">
        <v>2</v>
      </c>
      <c r="B99" s="2025">
        <v>2</v>
      </c>
      <c r="C99" s="2031">
        <v>2</v>
      </c>
      <c r="D99" s="2026" t="s">
        <v>644</v>
      </c>
      <c r="E99" s="2028" t="s">
        <v>645</v>
      </c>
      <c r="F99" s="2030" t="s">
        <v>646</v>
      </c>
      <c r="G99" s="247" t="s">
        <v>466</v>
      </c>
      <c r="H99" s="895">
        <v>217.9</v>
      </c>
      <c r="I99" s="875">
        <v>217.9</v>
      </c>
      <c r="J99" s="875"/>
      <c r="K99" s="876">
        <v>16.8</v>
      </c>
      <c r="L99" s="191">
        <v>422.9</v>
      </c>
      <c r="M99" s="875">
        <v>422.9</v>
      </c>
      <c r="N99" s="875"/>
      <c r="O99" s="876">
        <v>16.5</v>
      </c>
      <c r="P99" s="926">
        <v>220</v>
      </c>
      <c r="Q99" s="926">
        <v>220</v>
      </c>
      <c r="R99" s="2012" t="s">
        <v>647</v>
      </c>
      <c r="S99" s="889">
        <v>100</v>
      </c>
      <c r="T99" s="890">
        <v>100</v>
      </c>
      <c r="U99" s="1366"/>
      <c r="V99" s="93"/>
      <c r="W99" s="927"/>
      <c r="X99" s="927"/>
      <c r="Y99" s="927"/>
      <c r="Z99" s="927"/>
      <c r="AA99" s="927"/>
      <c r="AB99" s="927"/>
    </row>
    <row r="100" spans="1:29" ht="18" customHeight="1" x14ac:dyDescent="0.2">
      <c r="A100" s="2013"/>
      <c r="B100" s="2015"/>
      <c r="C100" s="1414"/>
      <c r="D100" s="2027"/>
      <c r="E100" s="2029"/>
      <c r="F100" s="2020"/>
      <c r="G100" s="935" t="s">
        <v>13</v>
      </c>
      <c r="H100" s="28">
        <f t="shared" ref="H100:Q100" si="31">SUM(H99)</f>
        <v>217.9</v>
      </c>
      <c r="I100" s="26">
        <f t="shared" si="31"/>
        <v>217.9</v>
      </c>
      <c r="J100" s="26">
        <f t="shared" si="31"/>
        <v>0</v>
      </c>
      <c r="K100" s="31">
        <f t="shared" si="31"/>
        <v>16.8</v>
      </c>
      <c r="L100" s="28">
        <f t="shared" si="31"/>
        <v>422.9</v>
      </c>
      <c r="M100" s="26">
        <f t="shared" si="31"/>
        <v>422.9</v>
      </c>
      <c r="N100" s="26">
        <f t="shared" si="31"/>
        <v>0</v>
      </c>
      <c r="O100" s="31">
        <f t="shared" si="31"/>
        <v>16.5</v>
      </c>
      <c r="P100" s="32">
        <f t="shared" si="31"/>
        <v>220</v>
      </c>
      <c r="Q100" s="32">
        <f t="shared" si="31"/>
        <v>220</v>
      </c>
      <c r="R100" s="1365"/>
      <c r="S100" s="287">
        <f>SUM(S99)</f>
        <v>100</v>
      </c>
      <c r="T100" s="288">
        <f>SUM(T99)</f>
        <v>100</v>
      </c>
      <c r="U100" s="1368"/>
      <c r="W100" s="549">
        <f>H102+H104+H106+H108+H110+H112+H114+H116+H118</f>
        <v>194000</v>
      </c>
      <c r="X100" s="549">
        <f>I102+I104+I106+I108+I110+I112+I114+I116+I118</f>
        <v>194000</v>
      </c>
      <c r="Y100" s="549">
        <f>J102+J104+J106+J108+J110+J112+J114+J116+J118</f>
        <v>0</v>
      </c>
      <c r="Z100" s="549">
        <f>K102+K104+K106+K108+K110+K112+K114+K116+K118</f>
        <v>0</v>
      </c>
      <c r="AB100" s="549">
        <f>P102+P104+P106+P108+P110+P112+P114+P116+P118</f>
        <v>200000</v>
      </c>
      <c r="AC100" s="549">
        <f>Q102+Q104+Q106+Q108+Q110+Q112+Q114+Q116+Q118</f>
        <v>200000</v>
      </c>
    </row>
    <row r="101" spans="1:29" ht="31.5" hidden="1" customHeight="1" outlineLevel="1" x14ac:dyDescent="0.2">
      <c r="A101" s="2024">
        <v>2</v>
      </c>
      <c r="B101" s="2025">
        <v>2</v>
      </c>
      <c r="C101" s="1142" t="s">
        <v>277</v>
      </c>
      <c r="D101" s="2026" t="s">
        <v>644</v>
      </c>
      <c r="E101" s="2028" t="s">
        <v>645</v>
      </c>
      <c r="F101" s="2030">
        <v>1</v>
      </c>
      <c r="G101" s="247" t="s">
        <v>466</v>
      </c>
      <c r="H101" s="895"/>
      <c r="I101" s="875"/>
      <c r="J101" s="875"/>
      <c r="K101" s="876"/>
      <c r="L101" s="191">
        <v>211233</v>
      </c>
      <c r="M101" s="875">
        <v>211233</v>
      </c>
      <c r="N101" s="875"/>
      <c r="O101" s="876"/>
      <c r="P101" s="926"/>
      <c r="Q101" s="926"/>
      <c r="R101" s="2012" t="s">
        <v>647</v>
      </c>
      <c r="S101" s="889"/>
      <c r="T101" s="890"/>
      <c r="U101" s="888"/>
    </row>
    <row r="102" spans="1:29" ht="18" hidden="1" customHeight="1" outlineLevel="1" x14ac:dyDescent="0.2">
      <c r="A102" s="2013"/>
      <c r="B102" s="2015"/>
      <c r="C102" s="1127"/>
      <c r="D102" s="2027"/>
      <c r="E102" s="2029"/>
      <c r="F102" s="2020"/>
      <c r="G102" s="935" t="s">
        <v>13</v>
      </c>
      <c r="H102" s="28">
        <f t="shared" ref="H102:Q102" si="32">SUM(H101)</f>
        <v>0</v>
      </c>
      <c r="I102" s="26">
        <f t="shared" si="32"/>
        <v>0</v>
      </c>
      <c r="J102" s="26">
        <f t="shared" si="32"/>
        <v>0</v>
      </c>
      <c r="K102" s="31">
        <f t="shared" si="32"/>
        <v>0</v>
      </c>
      <c r="L102" s="28">
        <f t="shared" si="32"/>
        <v>211233</v>
      </c>
      <c r="M102" s="26">
        <f t="shared" si="32"/>
        <v>211233</v>
      </c>
      <c r="N102" s="26">
        <f t="shared" si="32"/>
        <v>0</v>
      </c>
      <c r="O102" s="31">
        <f t="shared" si="32"/>
        <v>0</v>
      </c>
      <c r="P102" s="32">
        <f t="shared" si="32"/>
        <v>0</v>
      </c>
      <c r="Q102" s="32">
        <f t="shared" si="32"/>
        <v>0</v>
      </c>
      <c r="R102" s="1365"/>
      <c r="S102" s="287">
        <f>SUM(S101)</f>
        <v>0</v>
      </c>
      <c r="T102" s="288">
        <f>SUM(T101)</f>
        <v>0</v>
      </c>
      <c r="U102" s="289">
        <f>SUM(U101)</f>
        <v>0</v>
      </c>
    </row>
    <row r="103" spans="1:29" ht="31.5" hidden="1" customHeight="1" outlineLevel="1" x14ac:dyDescent="0.2">
      <c r="A103" s="2024">
        <v>2</v>
      </c>
      <c r="B103" s="2025">
        <v>2</v>
      </c>
      <c r="C103" s="1142" t="s">
        <v>282</v>
      </c>
      <c r="D103" s="2026" t="s">
        <v>644</v>
      </c>
      <c r="E103" s="2028" t="s">
        <v>645</v>
      </c>
      <c r="F103" s="2030">
        <v>14</v>
      </c>
      <c r="G103" s="247" t="s">
        <v>466</v>
      </c>
      <c r="H103" s="895">
        <v>35000</v>
      </c>
      <c r="I103" s="875">
        <v>35000</v>
      </c>
      <c r="J103" s="875"/>
      <c r="K103" s="876"/>
      <c r="L103" s="191"/>
      <c r="M103" s="875"/>
      <c r="N103" s="875"/>
      <c r="O103" s="876"/>
      <c r="P103" s="926">
        <v>35000</v>
      </c>
      <c r="Q103" s="926">
        <v>35000</v>
      </c>
      <c r="R103" s="2012" t="s">
        <v>647</v>
      </c>
      <c r="S103" s="889">
        <v>100</v>
      </c>
      <c r="T103" s="890">
        <v>100</v>
      </c>
      <c r="U103" s="888">
        <v>100</v>
      </c>
    </row>
    <row r="104" spans="1:29" ht="18" hidden="1" customHeight="1" outlineLevel="1" x14ac:dyDescent="0.2">
      <c r="A104" s="2013"/>
      <c r="B104" s="2015"/>
      <c r="C104" s="1127"/>
      <c r="D104" s="2027"/>
      <c r="E104" s="2029"/>
      <c r="F104" s="2020"/>
      <c r="G104" s="935" t="s">
        <v>13</v>
      </c>
      <c r="H104" s="28">
        <f t="shared" ref="H104:Q104" si="33">SUM(H103)</f>
        <v>35000</v>
      </c>
      <c r="I104" s="26">
        <f t="shared" si="33"/>
        <v>35000</v>
      </c>
      <c r="J104" s="26">
        <f t="shared" si="33"/>
        <v>0</v>
      </c>
      <c r="K104" s="31">
        <f t="shared" si="33"/>
        <v>0</v>
      </c>
      <c r="L104" s="28">
        <f t="shared" si="33"/>
        <v>0</v>
      </c>
      <c r="M104" s="26">
        <f t="shared" si="33"/>
        <v>0</v>
      </c>
      <c r="N104" s="26">
        <f t="shared" si="33"/>
        <v>0</v>
      </c>
      <c r="O104" s="31">
        <f t="shared" si="33"/>
        <v>0</v>
      </c>
      <c r="P104" s="32">
        <f t="shared" si="33"/>
        <v>35000</v>
      </c>
      <c r="Q104" s="32">
        <f t="shared" si="33"/>
        <v>35000</v>
      </c>
      <c r="R104" s="1365"/>
      <c r="S104" s="287">
        <f>SUM(S103)</f>
        <v>100</v>
      </c>
      <c r="T104" s="288">
        <f>SUM(T103)</f>
        <v>100</v>
      </c>
      <c r="U104" s="289">
        <f>SUM(U103)</f>
        <v>100</v>
      </c>
    </row>
    <row r="105" spans="1:29" ht="31.5" hidden="1" customHeight="1" outlineLevel="1" x14ac:dyDescent="0.2">
      <c r="A105" s="2024">
        <v>2</v>
      </c>
      <c r="B105" s="2025">
        <v>2</v>
      </c>
      <c r="C105" s="1142" t="s">
        <v>286</v>
      </c>
      <c r="D105" s="2026" t="s">
        <v>644</v>
      </c>
      <c r="E105" s="2028" t="s">
        <v>645</v>
      </c>
      <c r="F105" s="2030">
        <v>15</v>
      </c>
      <c r="G105" s="247" t="s">
        <v>466</v>
      </c>
      <c r="H105" s="895">
        <v>20000</v>
      </c>
      <c r="I105" s="875">
        <v>20000</v>
      </c>
      <c r="J105" s="875"/>
      <c r="K105" s="876"/>
      <c r="L105" s="191"/>
      <c r="M105" s="875"/>
      <c r="N105" s="875"/>
      <c r="O105" s="876"/>
      <c r="P105" s="926">
        <v>21000</v>
      </c>
      <c r="Q105" s="926">
        <v>21000</v>
      </c>
      <c r="R105" s="2012" t="s">
        <v>647</v>
      </c>
      <c r="S105" s="889">
        <v>100</v>
      </c>
      <c r="T105" s="890">
        <v>100</v>
      </c>
      <c r="U105" s="888">
        <v>100</v>
      </c>
    </row>
    <row r="106" spans="1:29" ht="18" hidden="1" customHeight="1" outlineLevel="1" x14ac:dyDescent="0.2">
      <c r="A106" s="2013"/>
      <c r="B106" s="2015"/>
      <c r="C106" s="1127"/>
      <c r="D106" s="2027"/>
      <c r="E106" s="2029"/>
      <c r="F106" s="2020"/>
      <c r="G106" s="935" t="s">
        <v>13</v>
      </c>
      <c r="H106" s="28">
        <f t="shared" ref="H106:Q106" si="34">SUM(H105)</f>
        <v>20000</v>
      </c>
      <c r="I106" s="26">
        <f t="shared" si="34"/>
        <v>20000</v>
      </c>
      <c r="J106" s="26">
        <f t="shared" si="34"/>
        <v>0</v>
      </c>
      <c r="K106" s="31">
        <f t="shared" si="34"/>
        <v>0</v>
      </c>
      <c r="L106" s="28">
        <f t="shared" si="34"/>
        <v>0</v>
      </c>
      <c r="M106" s="26">
        <f t="shared" si="34"/>
        <v>0</v>
      </c>
      <c r="N106" s="26">
        <f t="shared" si="34"/>
        <v>0</v>
      </c>
      <c r="O106" s="31">
        <f t="shared" si="34"/>
        <v>0</v>
      </c>
      <c r="P106" s="32">
        <f t="shared" si="34"/>
        <v>21000</v>
      </c>
      <c r="Q106" s="32">
        <f t="shared" si="34"/>
        <v>21000</v>
      </c>
      <c r="R106" s="1365"/>
      <c r="S106" s="287">
        <f>SUM(S105)</f>
        <v>100</v>
      </c>
      <c r="T106" s="288">
        <f>SUM(T105)</f>
        <v>100</v>
      </c>
      <c r="U106" s="289">
        <f>SUM(U105)</f>
        <v>100</v>
      </c>
    </row>
    <row r="107" spans="1:29" ht="31.5" hidden="1" customHeight="1" outlineLevel="1" x14ac:dyDescent="0.2">
      <c r="A107" s="2024">
        <v>2</v>
      </c>
      <c r="B107" s="2025">
        <v>2</v>
      </c>
      <c r="C107" s="1142" t="s">
        <v>289</v>
      </c>
      <c r="D107" s="2026" t="s">
        <v>644</v>
      </c>
      <c r="E107" s="2028" t="s">
        <v>645</v>
      </c>
      <c r="F107" s="2030">
        <v>16</v>
      </c>
      <c r="G107" s="247" t="s">
        <v>466</v>
      </c>
      <c r="H107" s="895">
        <v>15000</v>
      </c>
      <c r="I107" s="875">
        <v>15000</v>
      </c>
      <c r="J107" s="875"/>
      <c r="K107" s="876"/>
      <c r="L107" s="191"/>
      <c r="M107" s="875"/>
      <c r="N107" s="875"/>
      <c r="O107" s="876"/>
      <c r="P107" s="926">
        <v>15000</v>
      </c>
      <c r="Q107" s="926">
        <v>15000</v>
      </c>
      <c r="R107" s="2012" t="s">
        <v>647</v>
      </c>
      <c r="S107" s="889">
        <v>100</v>
      </c>
      <c r="T107" s="890">
        <v>100</v>
      </c>
      <c r="U107" s="888">
        <v>100</v>
      </c>
    </row>
    <row r="108" spans="1:29" ht="18" hidden="1" customHeight="1" outlineLevel="1" x14ac:dyDescent="0.2">
      <c r="A108" s="2013"/>
      <c r="B108" s="2015"/>
      <c r="C108" s="1127"/>
      <c r="D108" s="2027"/>
      <c r="E108" s="2029"/>
      <c r="F108" s="2020"/>
      <c r="G108" s="935" t="s">
        <v>13</v>
      </c>
      <c r="H108" s="28">
        <f t="shared" ref="H108:Q108" si="35">SUM(H107)</f>
        <v>15000</v>
      </c>
      <c r="I108" s="26">
        <f t="shared" si="35"/>
        <v>15000</v>
      </c>
      <c r="J108" s="26">
        <f t="shared" si="35"/>
        <v>0</v>
      </c>
      <c r="K108" s="31">
        <f t="shared" si="35"/>
        <v>0</v>
      </c>
      <c r="L108" s="28">
        <f t="shared" si="35"/>
        <v>0</v>
      </c>
      <c r="M108" s="26">
        <f t="shared" si="35"/>
        <v>0</v>
      </c>
      <c r="N108" s="26">
        <f t="shared" si="35"/>
        <v>0</v>
      </c>
      <c r="O108" s="31">
        <f t="shared" si="35"/>
        <v>0</v>
      </c>
      <c r="P108" s="32">
        <f t="shared" si="35"/>
        <v>15000</v>
      </c>
      <c r="Q108" s="32">
        <f t="shared" si="35"/>
        <v>15000</v>
      </c>
      <c r="R108" s="1365"/>
      <c r="S108" s="287">
        <f>SUM(S107)</f>
        <v>100</v>
      </c>
      <c r="T108" s="288">
        <f>SUM(T107)</f>
        <v>100</v>
      </c>
      <c r="U108" s="289">
        <f>SUM(U107)</f>
        <v>100</v>
      </c>
    </row>
    <row r="109" spans="1:29" ht="31.5" hidden="1" customHeight="1" outlineLevel="1" x14ac:dyDescent="0.2">
      <c r="A109" s="2024">
        <v>2</v>
      </c>
      <c r="B109" s="2025">
        <v>2</v>
      </c>
      <c r="C109" s="1142" t="s">
        <v>331</v>
      </c>
      <c r="D109" s="2026" t="s">
        <v>644</v>
      </c>
      <c r="E109" s="2028" t="s">
        <v>645</v>
      </c>
      <c r="F109" s="2030">
        <v>17</v>
      </c>
      <c r="G109" s="247" t="s">
        <v>466</v>
      </c>
      <c r="H109" s="895">
        <v>20000</v>
      </c>
      <c r="I109" s="875">
        <v>20000</v>
      </c>
      <c r="J109" s="875"/>
      <c r="K109" s="876"/>
      <c r="L109" s="191"/>
      <c r="M109" s="875"/>
      <c r="N109" s="875"/>
      <c r="O109" s="876"/>
      <c r="P109" s="926">
        <v>21000</v>
      </c>
      <c r="Q109" s="926">
        <v>21000</v>
      </c>
      <c r="R109" s="2012" t="s">
        <v>647</v>
      </c>
      <c r="S109" s="889">
        <v>100</v>
      </c>
      <c r="T109" s="890">
        <v>100</v>
      </c>
      <c r="U109" s="888">
        <v>100</v>
      </c>
    </row>
    <row r="110" spans="1:29" ht="18" hidden="1" customHeight="1" outlineLevel="1" x14ac:dyDescent="0.2">
      <c r="A110" s="2013"/>
      <c r="B110" s="2015"/>
      <c r="C110" s="1127"/>
      <c r="D110" s="2027"/>
      <c r="E110" s="2029"/>
      <c r="F110" s="2020"/>
      <c r="G110" s="935" t="s">
        <v>13</v>
      </c>
      <c r="H110" s="28">
        <f t="shared" ref="H110:Q110" si="36">SUM(H109)</f>
        <v>20000</v>
      </c>
      <c r="I110" s="26">
        <f t="shared" si="36"/>
        <v>20000</v>
      </c>
      <c r="J110" s="26">
        <f t="shared" si="36"/>
        <v>0</v>
      </c>
      <c r="K110" s="31">
        <f t="shared" si="36"/>
        <v>0</v>
      </c>
      <c r="L110" s="28">
        <f t="shared" si="36"/>
        <v>0</v>
      </c>
      <c r="M110" s="26">
        <f t="shared" si="36"/>
        <v>0</v>
      </c>
      <c r="N110" s="26">
        <f t="shared" si="36"/>
        <v>0</v>
      </c>
      <c r="O110" s="31">
        <f t="shared" si="36"/>
        <v>0</v>
      </c>
      <c r="P110" s="32">
        <f t="shared" si="36"/>
        <v>21000</v>
      </c>
      <c r="Q110" s="32">
        <f t="shared" si="36"/>
        <v>21000</v>
      </c>
      <c r="R110" s="1365"/>
      <c r="S110" s="287">
        <f>SUM(S109)</f>
        <v>100</v>
      </c>
      <c r="T110" s="288">
        <f>SUM(T109)</f>
        <v>100</v>
      </c>
      <c r="U110" s="289">
        <f>SUM(U109)</f>
        <v>100</v>
      </c>
    </row>
    <row r="111" spans="1:29" ht="31.5" hidden="1" customHeight="1" outlineLevel="1" x14ac:dyDescent="0.2">
      <c r="A111" s="2024">
        <v>2</v>
      </c>
      <c r="B111" s="2025">
        <v>2</v>
      </c>
      <c r="C111" s="1142" t="s">
        <v>292</v>
      </c>
      <c r="D111" s="2026" t="s">
        <v>644</v>
      </c>
      <c r="E111" s="2028" t="s">
        <v>645</v>
      </c>
      <c r="F111" s="2030">
        <v>18</v>
      </c>
      <c r="G111" s="247" t="s">
        <v>466</v>
      </c>
      <c r="H111" s="895">
        <v>34000</v>
      </c>
      <c r="I111" s="875">
        <v>34000</v>
      </c>
      <c r="J111" s="875"/>
      <c r="K111" s="876"/>
      <c r="L111" s="191"/>
      <c r="M111" s="875"/>
      <c r="N111" s="875"/>
      <c r="O111" s="876"/>
      <c r="P111" s="926">
        <v>35000</v>
      </c>
      <c r="Q111" s="926">
        <v>35000</v>
      </c>
      <c r="R111" s="2012" t="s">
        <v>647</v>
      </c>
      <c r="S111" s="889">
        <v>100</v>
      </c>
      <c r="T111" s="890">
        <v>100</v>
      </c>
      <c r="U111" s="888">
        <v>100</v>
      </c>
    </row>
    <row r="112" spans="1:29" ht="18" hidden="1" customHeight="1" outlineLevel="1" x14ac:dyDescent="0.2">
      <c r="A112" s="2013"/>
      <c r="B112" s="2015"/>
      <c r="C112" s="1127"/>
      <c r="D112" s="2027"/>
      <c r="E112" s="2029"/>
      <c r="F112" s="2020"/>
      <c r="G112" s="935" t="s">
        <v>13</v>
      </c>
      <c r="H112" s="28">
        <f t="shared" ref="H112:Q112" si="37">SUM(H111)</f>
        <v>34000</v>
      </c>
      <c r="I112" s="26">
        <f t="shared" si="37"/>
        <v>34000</v>
      </c>
      <c r="J112" s="26">
        <f t="shared" si="37"/>
        <v>0</v>
      </c>
      <c r="K112" s="31">
        <f t="shared" si="37"/>
        <v>0</v>
      </c>
      <c r="L112" s="28">
        <f t="shared" si="37"/>
        <v>0</v>
      </c>
      <c r="M112" s="26">
        <f t="shared" si="37"/>
        <v>0</v>
      </c>
      <c r="N112" s="26">
        <f t="shared" si="37"/>
        <v>0</v>
      </c>
      <c r="O112" s="31">
        <f t="shared" si="37"/>
        <v>0</v>
      </c>
      <c r="P112" s="32">
        <f t="shared" si="37"/>
        <v>35000</v>
      </c>
      <c r="Q112" s="32">
        <f t="shared" si="37"/>
        <v>35000</v>
      </c>
      <c r="R112" s="1365"/>
      <c r="S112" s="287">
        <f>SUM(S111)</f>
        <v>100</v>
      </c>
      <c r="T112" s="288">
        <f>SUM(T111)</f>
        <v>100</v>
      </c>
      <c r="U112" s="289">
        <f>SUM(U111)</f>
        <v>100</v>
      </c>
    </row>
    <row r="113" spans="1:22" ht="31.5" hidden="1" customHeight="1" outlineLevel="1" x14ac:dyDescent="0.2">
      <c r="A113" s="2024">
        <v>2</v>
      </c>
      <c r="B113" s="2025">
        <v>2</v>
      </c>
      <c r="C113" s="1142" t="s">
        <v>296</v>
      </c>
      <c r="D113" s="2026" t="s">
        <v>644</v>
      </c>
      <c r="E113" s="2028" t="s">
        <v>645</v>
      </c>
      <c r="F113" s="2030">
        <v>19</v>
      </c>
      <c r="G113" s="247" t="s">
        <v>466</v>
      </c>
      <c r="H113" s="895">
        <v>25000</v>
      </c>
      <c r="I113" s="875">
        <v>25000</v>
      </c>
      <c r="J113" s="875"/>
      <c r="K113" s="876"/>
      <c r="L113" s="191"/>
      <c r="M113" s="875"/>
      <c r="N113" s="875"/>
      <c r="O113" s="876"/>
      <c r="P113" s="926">
        <v>26000</v>
      </c>
      <c r="Q113" s="926">
        <v>26000</v>
      </c>
      <c r="R113" s="2012" t="s">
        <v>647</v>
      </c>
      <c r="S113" s="889">
        <v>100</v>
      </c>
      <c r="T113" s="890">
        <v>100</v>
      </c>
      <c r="U113" s="888">
        <v>100</v>
      </c>
    </row>
    <row r="114" spans="1:22" ht="18" hidden="1" customHeight="1" outlineLevel="1" x14ac:dyDescent="0.2">
      <c r="A114" s="2013"/>
      <c r="B114" s="2015"/>
      <c r="C114" s="1127"/>
      <c r="D114" s="2027"/>
      <c r="E114" s="2029"/>
      <c r="F114" s="2020"/>
      <c r="G114" s="935" t="s">
        <v>13</v>
      </c>
      <c r="H114" s="28">
        <f t="shared" ref="H114:Q114" si="38">SUM(H113)</f>
        <v>25000</v>
      </c>
      <c r="I114" s="26">
        <f t="shared" si="38"/>
        <v>25000</v>
      </c>
      <c r="J114" s="26">
        <f t="shared" si="38"/>
        <v>0</v>
      </c>
      <c r="K114" s="31">
        <f t="shared" si="38"/>
        <v>0</v>
      </c>
      <c r="L114" s="28">
        <f t="shared" si="38"/>
        <v>0</v>
      </c>
      <c r="M114" s="26">
        <f t="shared" si="38"/>
        <v>0</v>
      </c>
      <c r="N114" s="26">
        <f t="shared" si="38"/>
        <v>0</v>
      </c>
      <c r="O114" s="31">
        <f t="shared" si="38"/>
        <v>0</v>
      </c>
      <c r="P114" s="32">
        <f t="shared" si="38"/>
        <v>26000</v>
      </c>
      <c r="Q114" s="32">
        <f t="shared" si="38"/>
        <v>26000</v>
      </c>
      <c r="R114" s="1365"/>
      <c r="S114" s="287">
        <f>SUM(S113)</f>
        <v>100</v>
      </c>
      <c r="T114" s="288">
        <f>SUM(T113)</f>
        <v>100</v>
      </c>
      <c r="U114" s="289">
        <f>SUM(U113)</f>
        <v>100</v>
      </c>
    </row>
    <row r="115" spans="1:22" ht="31.5" hidden="1" customHeight="1" outlineLevel="1" x14ac:dyDescent="0.2">
      <c r="A115" s="2024">
        <v>2</v>
      </c>
      <c r="B115" s="2025">
        <v>2</v>
      </c>
      <c r="C115" s="1142" t="s">
        <v>298</v>
      </c>
      <c r="D115" s="2026" t="s">
        <v>644</v>
      </c>
      <c r="E115" s="2028" t="s">
        <v>645</v>
      </c>
      <c r="F115" s="2030">
        <v>20</v>
      </c>
      <c r="G115" s="247" t="s">
        <v>466</v>
      </c>
      <c r="H115" s="895">
        <v>20000</v>
      </c>
      <c r="I115" s="875">
        <v>20000</v>
      </c>
      <c r="J115" s="875"/>
      <c r="K115" s="876"/>
      <c r="L115" s="191"/>
      <c r="M115" s="875"/>
      <c r="N115" s="875"/>
      <c r="O115" s="876"/>
      <c r="P115" s="926">
        <v>21000</v>
      </c>
      <c r="Q115" s="926">
        <v>21000</v>
      </c>
      <c r="R115" s="2012" t="s">
        <v>647</v>
      </c>
      <c r="S115" s="889">
        <v>100</v>
      </c>
      <c r="T115" s="890">
        <v>100</v>
      </c>
      <c r="U115" s="888">
        <v>100</v>
      </c>
    </row>
    <row r="116" spans="1:22" ht="18" hidden="1" customHeight="1" outlineLevel="1" x14ac:dyDescent="0.2">
      <c r="A116" s="2013"/>
      <c r="B116" s="2015"/>
      <c r="C116" s="1127"/>
      <c r="D116" s="2027"/>
      <c r="E116" s="2029"/>
      <c r="F116" s="2020"/>
      <c r="G116" s="935" t="s">
        <v>13</v>
      </c>
      <c r="H116" s="28">
        <f t="shared" ref="H116:Q116" si="39">SUM(H115)</f>
        <v>20000</v>
      </c>
      <c r="I116" s="26">
        <f t="shared" si="39"/>
        <v>20000</v>
      </c>
      <c r="J116" s="26">
        <f t="shared" si="39"/>
        <v>0</v>
      </c>
      <c r="K116" s="31">
        <f t="shared" si="39"/>
        <v>0</v>
      </c>
      <c r="L116" s="28">
        <f t="shared" si="39"/>
        <v>0</v>
      </c>
      <c r="M116" s="26">
        <f t="shared" si="39"/>
        <v>0</v>
      </c>
      <c r="N116" s="26">
        <f t="shared" si="39"/>
        <v>0</v>
      </c>
      <c r="O116" s="31">
        <f t="shared" si="39"/>
        <v>0</v>
      </c>
      <c r="P116" s="32">
        <f t="shared" si="39"/>
        <v>21000</v>
      </c>
      <c r="Q116" s="32">
        <f t="shared" si="39"/>
        <v>21000</v>
      </c>
      <c r="R116" s="1365"/>
      <c r="S116" s="287">
        <f>SUM(S115)</f>
        <v>100</v>
      </c>
      <c r="T116" s="288">
        <f>SUM(T115)</f>
        <v>100</v>
      </c>
      <c r="U116" s="289">
        <f>SUM(U115)</f>
        <v>100</v>
      </c>
    </row>
    <row r="117" spans="1:22" ht="31.5" hidden="1" customHeight="1" outlineLevel="1" x14ac:dyDescent="0.2">
      <c r="A117" s="2024">
        <v>2</v>
      </c>
      <c r="B117" s="2025">
        <v>2</v>
      </c>
      <c r="C117" s="1142" t="s">
        <v>300</v>
      </c>
      <c r="D117" s="2026" t="s">
        <v>644</v>
      </c>
      <c r="E117" s="2028" t="s">
        <v>645</v>
      </c>
      <c r="F117" s="2030">
        <v>21</v>
      </c>
      <c r="G117" s="247" t="s">
        <v>466</v>
      </c>
      <c r="H117" s="895">
        <v>25000</v>
      </c>
      <c r="I117" s="875">
        <v>25000</v>
      </c>
      <c r="J117" s="875"/>
      <c r="K117" s="876"/>
      <c r="L117" s="191"/>
      <c r="M117" s="875"/>
      <c r="N117" s="875"/>
      <c r="O117" s="876"/>
      <c r="P117" s="926">
        <v>26000</v>
      </c>
      <c r="Q117" s="926">
        <v>26000</v>
      </c>
      <c r="R117" s="2012" t="s">
        <v>647</v>
      </c>
      <c r="S117" s="889">
        <v>100</v>
      </c>
      <c r="T117" s="890">
        <v>100</v>
      </c>
      <c r="U117" s="888">
        <v>100</v>
      </c>
    </row>
    <row r="118" spans="1:22" ht="18" hidden="1" customHeight="1" outlineLevel="1" x14ac:dyDescent="0.2">
      <c r="A118" s="2013"/>
      <c r="B118" s="2015"/>
      <c r="C118" s="1127"/>
      <c r="D118" s="2027"/>
      <c r="E118" s="2029"/>
      <c r="F118" s="2020"/>
      <c r="G118" s="935" t="s">
        <v>13</v>
      </c>
      <c r="H118" s="28">
        <f t="shared" ref="H118:Q118" si="40">SUM(H117)</f>
        <v>25000</v>
      </c>
      <c r="I118" s="26">
        <f t="shared" si="40"/>
        <v>25000</v>
      </c>
      <c r="J118" s="26">
        <f t="shared" si="40"/>
        <v>0</v>
      </c>
      <c r="K118" s="31">
        <f t="shared" si="40"/>
        <v>0</v>
      </c>
      <c r="L118" s="28">
        <f t="shared" si="40"/>
        <v>0</v>
      </c>
      <c r="M118" s="26">
        <f t="shared" si="40"/>
        <v>0</v>
      </c>
      <c r="N118" s="26">
        <f t="shared" si="40"/>
        <v>0</v>
      </c>
      <c r="O118" s="31">
        <f t="shared" si="40"/>
        <v>0</v>
      </c>
      <c r="P118" s="32">
        <f t="shared" si="40"/>
        <v>26000</v>
      </c>
      <c r="Q118" s="32">
        <f t="shared" si="40"/>
        <v>26000</v>
      </c>
      <c r="R118" s="1365"/>
      <c r="S118" s="287">
        <f>SUM(S117)</f>
        <v>100</v>
      </c>
      <c r="T118" s="288">
        <f>SUM(T117)</f>
        <v>100</v>
      </c>
      <c r="U118" s="289">
        <f>SUM(U117)</f>
        <v>100</v>
      </c>
    </row>
    <row r="119" spans="1:22" ht="30.75" customHeight="1" collapsed="1" x14ac:dyDescent="0.2">
      <c r="A119" s="2013">
        <v>2</v>
      </c>
      <c r="B119" s="2015">
        <v>2</v>
      </c>
      <c r="C119" s="1414">
        <v>3</v>
      </c>
      <c r="D119" s="1302" t="s">
        <v>648</v>
      </c>
      <c r="E119" s="2018" t="s">
        <v>649</v>
      </c>
      <c r="F119" s="2020">
        <v>1</v>
      </c>
      <c r="G119" s="940" t="s">
        <v>224</v>
      </c>
      <c r="H119" s="191">
        <v>7</v>
      </c>
      <c r="I119" s="875">
        <v>7</v>
      </c>
      <c r="J119" s="875"/>
      <c r="K119" s="876"/>
      <c r="L119" s="191">
        <v>7</v>
      </c>
      <c r="M119" s="875">
        <v>7</v>
      </c>
      <c r="N119" s="875"/>
      <c r="O119" s="876"/>
      <c r="P119" s="14">
        <v>12</v>
      </c>
      <c r="Q119" s="14">
        <v>12</v>
      </c>
      <c r="R119" s="2022" t="s">
        <v>650</v>
      </c>
      <c r="S119" s="889">
        <v>60</v>
      </c>
      <c r="T119" s="890">
        <v>60</v>
      </c>
      <c r="U119" s="1998" t="s">
        <v>609</v>
      </c>
    </row>
    <row r="120" spans="1:22" ht="15.75" customHeight="1" x14ac:dyDescent="0.2">
      <c r="A120" s="2014"/>
      <c r="B120" s="2016"/>
      <c r="C120" s="2016"/>
      <c r="D120" s="2017"/>
      <c r="E120" s="2019"/>
      <c r="F120" s="2021"/>
      <c r="G120" s="925" t="s">
        <v>624</v>
      </c>
      <c r="H120" s="39">
        <f>SUM(H119)</f>
        <v>7</v>
      </c>
      <c r="I120" s="40">
        <f t="shared" ref="I120:Q120" si="41">SUM(I119:I119)</f>
        <v>7</v>
      </c>
      <c r="J120" s="40">
        <f t="shared" si="41"/>
        <v>0</v>
      </c>
      <c r="K120" s="42">
        <f t="shared" si="41"/>
        <v>0</v>
      </c>
      <c r="L120" s="39">
        <f t="shared" si="41"/>
        <v>7</v>
      </c>
      <c r="M120" s="40">
        <f t="shared" si="41"/>
        <v>7</v>
      </c>
      <c r="N120" s="40">
        <f t="shared" si="41"/>
        <v>0</v>
      </c>
      <c r="O120" s="42">
        <f t="shared" si="41"/>
        <v>0</v>
      </c>
      <c r="P120" s="43">
        <f t="shared" si="41"/>
        <v>12</v>
      </c>
      <c r="Q120" s="32">
        <f t="shared" si="41"/>
        <v>12</v>
      </c>
      <c r="R120" s="2023"/>
      <c r="S120" s="608">
        <f>SUM(S119)</f>
        <v>60</v>
      </c>
      <c r="T120" s="614">
        <f>SUM(T119)</f>
        <v>60</v>
      </c>
      <c r="U120" s="1999"/>
    </row>
    <row r="121" spans="1:22" ht="14.25" customHeight="1" x14ac:dyDescent="0.2">
      <c r="A121" s="2000">
        <v>2</v>
      </c>
      <c r="B121" s="2002">
        <v>2</v>
      </c>
      <c r="C121" s="2004">
        <v>4</v>
      </c>
      <c r="D121" s="1892" t="s">
        <v>651</v>
      </c>
      <c r="E121" s="2006" t="s">
        <v>652</v>
      </c>
      <c r="F121" s="2008">
        <v>1</v>
      </c>
      <c r="G121" s="944" t="s">
        <v>73</v>
      </c>
      <c r="H121" s="945"/>
      <c r="I121" s="946"/>
      <c r="J121" s="946"/>
      <c r="K121" s="944"/>
      <c r="L121" s="945">
        <v>1.7</v>
      </c>
      <c r="M121" s="946">
        <v>1.7</v>
      </c>
      <c r="N121" s="946"/>
      <c r="O121" s="944"/>
      <c r="P121" s="947">
        <v>5</v>
      </c>
      <c r="Q121" s="948">
        <v>5</v>
      </c>
      <c r="R121" s="2010" t="s">
        <v>88</v>
      </c>
      <c r="S121" s="945">
        <v>100</v>
      </c>
      <c r="T121" s="946">
        <v>100</v>
      </c>
      <c r="U121" s="236"/>
      <c r="V121" s="296"/>
    </row>
    <row r="122" spans="1:22" s="526" customFormat="1" ht="21.75" customHeight="1" thickBot="1" x14ac:dyDescent="0.25">
      <c r="A122" s="2001"/>
      <c r="B122" s="2003"/>
      <c r="C122" s="2005"/>
      <c r="D122" s="1446"/>
      <c r="E122" s="2007"/>
      <c r="F122" s="2009"/>
      <c r="G122" s="949" t="s">
        <v>624</v>
      </c>
      <c r="H122" s="950">
        <v>0</v>
      </c>
      <c r="I122" s="415">
        <v>0</v>
      </c>
      <c r="J122" s="415">
        <v>0</v>
      </c>
      <c r="K122" s="422">
        <f>SUM(H122:J122)</f>
        <v>0</v>
      </c>
      <c r="L122" s="950">
        <f>SUM(L121)</f>
        <v>1.7</v>
      </c>
      <c r="M122" s="415">
        <f>SUM(M121)</f>
        <v>1.7</v>
      </c>
      <c r="N122" s="415">
        <v>0</v>
      </c>
      <c r="O122" s="422">
        <f>SUM(N121)</f>
        <v>0</v>
      </c>
      <c r="P122" s="44">
        <v>5</v>
      </c>
      <c r="Q122" s="951">
        <f>SUM(Q121)</f>
        <v>5</v>
      </c>
      <c r="R122" s="2011"/>
      <c r="S122" s="950">
        <v>100</v>
      </c>
      <c r="T122" s="415">
        <v>100</v>
      </c>
      <c r="U122" s="952"/>
    </row>
    <row r="123" spans="1:22" s="526" customFormat="1" thickBot="1" x14ac:dyDescent="0.25">
      <c r="A123" s="933">
        <v>2</v>
      </c>
      <c r="B123" s="813">
        <v>2</v>
      </c>
      <c r="C123" s="1991" t="s">
        <v>14</v>
      </c>
      <c r="D123" s="1992"/>
      <c r="E123" s="1992"/>
      <c r="F123" s="1992"/>
      <c r="G123" s="1992"/>
      <c r="H123" s="45">
        <f t="shared" ref="H123:Q123" si="42">SUM(H98,H100,H120)</f>
        <v>801.8</v>
      </c>
      <c r="I123" s="880">
        <f t="shared" si="42"/>
        <v>801.8</v>
      </c>
      <c r="J123" s="880">
        <f t="shared" si="42"/>
        <v>0</v>
      </c>
      <c r="K123" s="46">
        <f t="shared" si="42"/>
        <v>16.8</v>
      </c>
      <c r="L123" s="45">
        <f t="shared" si="42"/>
        <v>1006.8</v>
      </c>
      <c r="M123" s="880">
        <f t="shared" si="42"/>
        <v>1006.8</v>
      </c>
      <c r="N123" s="880">
        <f t="shared" si="42"/>
        <v>0</v>
      </c>
      <c r="O123" s="46">
        <f t="shared" si="42"/>
        <v>16.5</v>
      </c>
      <c r="P123" s="71">
        <f t="shared" si="42"/>
        <v>762</v>
      </c>
      <c r="Q123" s="71">
        <f t="shared" si="42"/>
        <v>762</v>
      </c>
      <c r="R123" s="818" t="s">
        <v>23</v>
      </c>
      <c r="S123" s="812" t="s">
        <v>23</v>
      </c>
      <c r="T123" s="813" t="s">
        <v>23</v>
      </c>
      <c r="U123" s="953" t="s">
        <v>23</v>
      </c>
    </row>
    <row r="124" spans="1:22" ht="12" thickBot="1" x14ac:dyDescent="0.25">
      <c r="A124" s="933">
        <v>2</v>
      </c>
      <c r="B124" s="1993" t="s">
        <v>15</v>
      </c>
      <c r="C124" s="1994"/>
      <c r="D124" s="1994"/>
      <c r="E124" s="1994"/>
      <c r="F124" s="1994"/>
      <c r="G124" s="1994"/>
      <c r="H124" s="9">
        <f t="shared" ref="H124:Q124" si="43">SUM(H123,H95)</f>
        <v>1061.5999999999999</v>
      </c>
      <c r="I124" s="929">
        <f t="shared" si="43"/>
        <v>1044.8999999999999</v>
      </c>
      <c r="J124" s="929">
        <f t="shared" si="43"/>
        <v>45.9</v>
      </c>
      <c r="K124" s="930">
        <f t="shared" si="43"/>
        <v>33.5</v>
      </c>
      <c r="L124" s="9">
        <f t="shared" si="43"/>
        <v>1299.3</v>
      </c>
      <c r="M124" s="929">
        <f t="shared" si="43"/>
        <v>1282.5999999999999</v>
      </c>
      <c r="N124" s="929">
        <f t="shared" si="43"/>
        <v>51.1</v>
      </c>
      <c r="O124" s="930">
        <f t="shared" si="43"/>
        <v>39.299999999999997</v>
      </c>
      <c r="P124" s="931">
        <f t="shared" si="43"/>
        <v>1131.5999999999999</v>
      </c>
      <c r="Q124" s="931">
        <f t="shared" si="43"/>
        <v>1158.4000000000001</v>
      </c>
      <c r="R124" s="954" t="s">
        <v>23</v>
      </c>
      <c r="S124" s="933" t="s">
        <v>23</v>
      </c>
      <c r="T124" s="955" t="s">
        <v>23</v>
      </c>
      <c r="U124" s="956" t="s">
        <v>23</v>
      </c>
    </row>
    <row r="125" spans="1:22" ht="12" thickBot="1" x14ac:dyDescent="0.25">
      <c r="A125" s="1995" t="s">
        <v>653</v>
      </c>
      <c r="B125" s="1996"/>
      <c r="C125" s="1996"/>
      <c r="D125" s="1996"/>
      <c r="E125" s="1996"/>
      <c r="F125" s="1996"/>
      <c r="G125" s="1996"/>
      <c r="H125" s="83">
        <f t="shared" ref="H125:P125" si="44">SUM(H124,H36)</f>
        <v>1436.3999999999999</v>
      </c>
      <c r="I125" s="82">
        <f t="shared" si="44"/>
        <v>1419.6999999999998</v>
      </c>
      <c r="J125" s="82">
        <f t="shared" si="44"/>
        <v>74.400000000000006</v>
      </c>
      <c r="K125" s="84">
        <f t="shared" si="44"/>
        <v>33.5</v>
      </c>
      <c r="L125" s="83">
        <f t="shared" si="44"/>
        <v>1666.1</v>
      </c>
      <c r="M125" s="82">
        <f t="shared" si="44"/>
        <v>1649.3999999999999</v>
      </c>
      <c r="N125" s="82">
        <f t="shared" si="44"/>
        <v>86.9</v>
      </c>
      <c r="O125" s="84">
        <f t="shared" si="44"/>
        <v>39.299999999999997</v>
      </c>
      <c r="P125" s="957">
        <f t="shared" si="44"/>
        <v>1605.6</v>
      </c>
      <c r="Q125" s="957">
        <f>SUM(Q124,Q36)</f>
        <v>1903.4</v>
      </c>
      <c r="R125" s="958" t="s">
        <v>23</v>
      </c>
      <c r="S125" s="959" t="s">
        <v>23</v>
      </c>
      <c r="T125" s="960" t="s">
        <v>23</v>
      </c>
      <c r="U125" s="723" t="s">
        <v>23</v>
      </c>
    </row>
    <row r="127" spans="1:22" x14ac:dyDescent="0.2">
      <c r="H127" s="93"/>
    </row>
    <row r="128" spans="1:22" x14ac:dyDescent="0.2">
      <c r="D128" s="549"/>
      <c r="H128" s="549"/>
      <c r="I128" s="549"/>
      <c r="J128" s="549"/>
      <c r="K128" s="549"/>
      <c r="L128" s="549"/>
      <c r="M128" s="549"/>
      <c r="N128" s="549"/>
      <c r="O128" s="549"/>
      <c r="P128" s="549"/>
      <c r="Q128" s="549"/>
    </row>
    <row r="129" spans="2:21" ht="15.75" x14ac:dyDescent="0.2">
      <c r="B129" s="1997" t="s">
        <v>654</v>
      </c>
      <c r="C129" s="1997"/>
      <c r="D129" s="1997"/>
      <c r="E129" s="1997"/>
      <c r="F129" s="1997"/>
      <c r="G129" s="1997"/>
      <c r="H129" s="1997"/>
      <c r="I129" s="1997"/>
      <c r="J129" s="1997"/>
      <c r="K129" s="1997"/>
      <c r="L129" s="1997"/>
      <c r="M129" s="1997"/>
      <c r="N129" s="1997"/>
      <c r="O129" s="1997"/>
      <c r="P129" s="1997"/>
      <c r="Q129" s="1997"/>
      <c r="R129" s="1997"/>
      <c r="S129" s="1997"/>
      <c r="T129" s="1997"/>
    </row>
    <row r="130" spans="2:21" x14ac:dyDescent="0.2">
      <c r="H130" s="549"/>
      <c r="I130" s="549"/>
      <c r="J130" s="549"/>
      <c r="K130" s="725"/>
      <c r="L130" s="725"/>
      <c r="M130" s="725"/>
      <c r="N130" s="725"/>
      <c r="O130" s="725"/>
      <c r="P130" s="549"/>
      <c r="Q130" s="549"/>
    </row>
    <row r="131" spans="2:21" x14ac:dyDescent="0.2">
      <c r="K131" s="537"/>
      <c r="L131" s="725"/>
      <c r="M131" s="725"/>
      <c r="N131" s="725"/>
      <c r="O131" s="725"/>
    </row>
    <row r="132" spans="2:21" x14ac:dyDescent="0.2">
      <c r="K132" s="537"/>
      <c r="L132" s="725"/>
      <c r="M132" s="725"/>
      <c r="N132" s="725"/>
      <c r="O132" s="725"/>
    </row>
    <row r="133" spans="2:21" x14ac:dyDescent="0.2">
      <c r="K133" s="537"/>
      <c r="L133" s="725"/>
      <c r="M133" s="725"/>
      <c r="N133" s="725"/>
      <c r="O133" s="725"/>
      <c r="U133" s="264"/>
    </row>
  </sheetData>
  <mergeCells count="443">
    <mergeCell ref="R1:U1"/>
    <mergeCell ref="A2:U2"/>
    <mergeCell ref="A3:U3"/>
    <mergeCell ref="A4:U4"/>
    <mergeCell ref="A5:U5"/>
    <mergeCell ref="A6:U6"/>
    <mergeCell ref="R9:R10"/>
    <mergeCell ref="A7:U7"/>
    <mergeCell ref="A8:A10"/>
    <mergeCell ref="B8:B10"/>
    <mergeCell ref="C8:C10"/>
    <mergeCell ref="D8:D10"/>
    <mergeCell ref="E8:E10"/>
    <mergeCell ref="F8:F10"/>
    <mergeCell ref="G8:G10"/>
    <mergeCell ref="H8:K8"/>
    <mergeCell ref="L8:O8"/>
    <mergeCell ref="G15:G21"/>
    <mergeCell ref="H15:H21"/>
    <mergeCell ref="I15:I21"/>
    <mergeCell ref="J15:J21"/>
    <mergeCell ref="K15:K21"/>
    <mergeCell ref="U9:U10"/>
    <mergeCell ref="A11:U11"/>
    <mergeCell ref="A12:U12"/>
    <mergeCell ref="B13:U13"/>
    <mergeCell ref="C14:U14"/>
    <mergeCell ref="A15:A22"/>
    <mergeCell ref="B15:B22"/>
    <mergeCell ref="C15:C22"/>
    <mergeCell ref="D15:D22"/>
    <mergeCell ref="E15:E22"/>
    <mergeCell ref="P8:P10"/>
    <mergeCell ref="Q8:Q10"/>
    <mergeCell ref="R8:U8"/>
    <mergeCell ref="H9:H10"/>
    <mergeCell ref="I9:J9"/>
    <mergeCell ref="K9:K10"/>
    <mergeCell ref="L9:L10"/>
    <mergeCell ref="M9:N9"/>
    <mergeCell ref="O9:O10"/>
    <mergeCell ref="A25:A26"/>
    <mergeCell ref="B25:B26"/>
    <mergeCell ref="C25:C26"/>
    <mergeCell ref="D25:D26"/>
    <mergeCell ref="E25:E26"/>
    <mergeCell ref="F25:F26"/>
    <mergeCell ref="R25:R26"/>
    <mergeCell ref="R15:R16"/>
    <mergeCell ref="U15:U22"/>
    <mergeCell ref="R17:R18"/>
    <mergeCell ref="R19:R20"/>
    <mergeCell ref="R21:R22"/>
    <mergeCell ref="A23:A24"/>
    <mergeCell ref="B23:B24"/>
    <mergeCell ref="C23:C24"/>
    <mergeCell ref="D23:D24"/>
    <mergeCell ref="E23:E24"/>
    <mergeCell ref="L15:L21"/>
    <mergeCell ref="M15:M21"/>
    <mergeCell ref="N15:N21"/>
    <mergeCell ref="O15:O21"/>
    <mergeCell ref="P15:P21"/>
    <mergeCell ref="Q15:Q21"/>
    <mergeCell ref="F15:F22"/>
    <mergeCell ref="U25:U26"/>
    <mergeCell ref="C27:C28"/>
    <mergeCell ref="D27:D28"/>
    <mergeCell ref="E27:E28"/>
    <mergeCell ref="F27:F28"/>
    <mergeCell ref="R27:R28"/>
    <mergeCell ref="F23:F24"/>
    <mergeCell ref="R23:R24"/>
    <mergeCell ref="U23:U24"/>
    <mergeCell ref="C29:G29"/>
    <mergeCell ref="C30:U30"/>
    <mergeCell ref="A31:A32"/>
    <mergeCell ref="B31:B32"/>
    <mergeCell ref="C31:C32"/>
    <mergeCell ref="D31:D32"/>
    <mergeCell ref="E31:E32"/>
    <mergeCell ref="F31:F32"/>
    <mergeCell ref="R31:R32"/>
    <mergeCell ref="U31:U32"/>
    <mergeCell ref="R33:R34"/>
    <mergeCell ref="U33:U34"/>
    <mergeCell ref="C35:G35"/>
    <mergeCell ref="B36:G36"/>
    <mergeCell ref="B37:U37"/>
    <mergeCell ref="C38:U38"/>
    <mergeCell ref="A33:A34"/>
    <mergeCell ref="B33:B34"/>
    <mergeCell ref="C33:C34"/>
    <mergeCell ref="D33:D34"/>
    <mergeCell ref="E33:E34"/>
    <mergeCell ref="F33:F34"/>
    <mergeCell ref="R39:R40"/>
    <mergeCell ref="U39:U40"/>
    <mergeCell ref="A41:A42"/>
    <mergeCell ref="B41:B42"/>
    <mergeCell ref="C41:C42"/>
    <mergeCell ref="D41:D42"/>
    <mergeCell ref="E41:E42"/>
    <mergeCell ref="F41:F42"/>
    <mergeCell ref="R41:R42"/>
    <mergeCell ref="A39:A40"/>
    <mergeCell ref="B39:B40"/>
    <mergeCell ref="C39:C40"/>
    <mergeCell ref="D39:D40"/>
    <mergeCell ref="E39:E40"/>
    <mergeCell ref="F39:F40"/>
    <mergeCell ref="R43:R44"/>
    <mergeCell ref="A45:A46"/>
    <mergeCell ref="B45:B46"/>
    <mergeCell ref="C45:C46"/>
    <mergeCell ref="D45:D46"/>
    <mergeCell ref="E45:E46"/>
    <mergeCell ref="F45:F46"/>
    <mergeCell ref="R45:R46"/>
    <mergeCell ref="A43:A44"/>
    <mergeCell ref="B43:B44"/>
    <mergeCell ref="C43:C44"/>
    <mergeCell ref="D43:D44"/>
    <mergeCell ref="E43:E44"/>
    <mergeCell ref="F43:F44"/>
    <mergeCell ref="R47:R48"/>
    <mergeCell ref="A49:A50"/>
    <mergeCell ref="B49:B50"/>
    <mergeCell ref="C49:C50"/>
    <mergeCell ref="D49:D50"/>
    <mergeCell ref="E49:E50"/>
    <mergeCell ref="F49:F50"/>
    <mergeCell ref="R49:R50"/>
    <mergeCell ref="A47:A48"/>
    <mergeCell ref="B47:B48"/>
    <mergeCell ref="C47:C48"/>
    <mergeCell ref="D47:D48"/>
    <mergeCell ref="E47:E48"/>
    <mergeCell ref="F47:F48"/>
    <mergeCell ref="R51:R52"/>
    <mergeCell ref="A53:A54"/>
    <mergeCell ref="B53:B54"/>
    <mergeCell ref="C53:C54"/>
    <mergeCell ref="D53:D54"/>
    <mergeCell ref="E53:E54"/>
    <mergeCell ref="F53:F54"/>
    <mergeCell ref="R53:R54"/>
    <mergeCell ref="A51:A52"/>
    <mergeCell ref="B51:B52"/>
    <mergeCell ref="C51:C52"/>
    <mergeCell ref="D51:D52"/>
    <mergeCell ref="E51:E52"/>
    <mergeCell ref="F51:F52"/>
    <mergeCell ref="R55:R56"/>
    <mergeCell ref="A57:A60"/>
    <mergeCell ref="B57:B60"/>
    <mergeCell ref="C57:C60"/>
    <mergeCell ref="D57:D60"/>
    <mergeCell ref="E57:E60"/>
    <mergeCell ref="F57:F60"/>
    <mergeCell ref="G57:G58"/>
    <mergeCell ref="H57:H58"/>
    <mergeCell ref="I57:I58"/>
    <mergeCell ref="A55:A56"/>
    <mergeCell ref="B55:B56"/>
    <mergeCell ref="C55:C56"/>
    <mergeCell ref="D55:D56"/>
    <mergeCell ref="E55:E56"/>
    <mergeCell ref="F55:F56"/>
    <mergeCell ref="P57:P58"/>
    <mergeCell ref="Q57:Q58"/>
    <mergeCell ref="R57:R58"/>
    <mergeCell ref="U57:U58"/>
    <mergeCell ref="R59:R60"/>
    <mergeCell ref="U59:U60"/>
    <mergeCell ref="J57:J58"/>
    <mergeCell ref="K57:K58"/>
    <mergeCell ref="L57:L58"/>
    <mergeCell ref="M57:M58"/>
    <mergeCell ref="N57:N58"/>
    <mergeCell ref="O57:O58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R63:R64"/>
    <mergeCell ref="A65:A68"/>
    <mergeCell ref="B65:B68"/>
    <mergeCell ref="C65:C68"/>
    <mergeCell ref="D65:D68"/>
    <mergeCell ref="E65:E68"/>
    <mergeCell ref="F65:F68"/>
    <mergeCell ref="G65:G66"/>
    <mergeCell ref="H65:H66"/>
    <mergeCell ref="I65:I66"/>
    <mergeCell ref="A61:A64"/>
    <mergeCell ref="B61:B64"/>
    <mergeCell ref="C61:C64"/>
    <mergeCell ref="D61:D64"/>
    <mergeCell ref="E61:E64"/>
    <mergeCell ref="F61:F64"/>
    <mergeCell ref="P65:P66"/>
    <mergeCell ref="Q65:Q66"/>
    <mergeCell ref="R65:R66"/>
    <mergeCell ref="R67:R68"/>
    <mergeCell ref="M65:M66"/>
    <mergeCell ref="N65:N66"/>
    <mergeCell ref="O65:O66"/>
    <mergeCell ref="M61:M62"/>
    <mergeCell ref="A69:A72"/>
    <mergeCell ref="B69:B72"/>
    <mergeCell ref="C69:C72"/>
    <mergeCell ref="D69:D72"/>
    <mergeCell ref="E69:E72"/>
    <mergeCell ref="F69:F72"/>
    <mergeCell ref="J65:J66"/>
    <mergeCell ref="K65:K66"/>
    <mergeCell ref="L65:L66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77:C80"/>
    <mergeCell ref="D77:D80"/>
    <mergeCell ref="E77:E80"/>
    <mergeCell ref="F77:F80"/>
    <mergeCell ref="J73:J74"/>
    <mergeCell ref="K73:K74"/>
    <mergeCell ref="L73:L74"/>
    <mergeCell ref="R71:R72"/>
    <mergeCell ref="A73:A76"/>
    <mergeCell ref="B73:B76"/>
    <mergeCell ref="C73:C76"/>
    <mergeCell ref="D73:D76"/>
    <mergeCell ref="E73:E76"/>
    <mergeCell ref="F73:F76"/>
    <mergeCell ref="G73:G74"/>
    <mergeCell ref="H73:H74"/>
    <mergeCell ref="I73:I74"/>
    <mergeCell ref="P73:P74"/>
    <mergeCell ref="Q73:Q74"/>
    <mergeCell ref="R73:R74"/>
    <mergeCell ref="R75:R76"/>
    <mergeCell ref="M73:M74"/>
    <mergeCell ref="N73:N74"/>
    <mergeCell ref="O73:O74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E85:E88"/>
    <mergeCell ref="F85:F88"/>
    <mergeCell ref="J81:J82"/>
    <mergeCell ref="K81:K82"/>
    <mergeCell ref="L81:L82"/>
    <mergeCell ref="R79:R80"/>
    <mergeCell ref="A81:A84"/>
    <mergeCell ref="B81:B84"/>
    <mergeCell ref="C81:C84"/>
    <mergeCell ref="D81:D84"/>
    <mergeCell ref="E81:E84"/>
    <mergeCell ref="F81:F84"/>
    <mergeCell ref="G81:G82"/>
    <mergeCell ref="H81:H82"/>
    <mergeCell ref="I81:I82"/>
    <mergeCell ref="P81:P82"/>
    <mergeCell ref="Q81:Q82"/>
    <mergeCell ref="R81:R82"/>
    <mergeCell ref="R83:R84"/>
    <mergeCell ref="M81:M82"/>
    <mergeCell ref="N81:N82"/>
    <mergeCell ref="O81:O82"/>
    <mergeCell ref="A77:A80"/>
    <mergeCell ref="B77:B80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J89:J90"/>
    <mergeCell ref="K89:K90"/>
    <mergeCell ref="L89:L90"/>
    <mergeCell ref="R87:R88"/>
    <mergeCell ref="A89:A92"/>
    <mergeCell ref="B89:B92"/>
    <mergeCell ref="C89:C92"/>
    <mergeCell ref="D89:D92"/>
    <mergeCell ref="E89:E92"/>
    <mergeCell ref="F89:F92"/>
    <mergeCell ref="G89:G90"/>
    <mergeCell ref="H89:H90"/>
    <mergeCell ref="I89:I90"/>
    <mergeCell ref="P89:P90"/>
    <mergeCell ref="Q89:Q90"/>
    <mergeCell ref="R89:R90"/>
    <mergeCell ref="R91:R92"/>
    <mergeCell ref="M89:M90"/>
    <mergeCell ref="N89:N90"/>
    <mergeCell ref="O89:O90"/>
    <mergeCell ref="A85:A88"/>
    <mergeCell ref="B85:B88"/>
    <mergeCell ref="C85:C88"/>
    <mergeCell ref="D85:D88"/>
    <mergeCell ref="R93:R94"/>
    <mergeCell ref="U93:U94"/>
    <mergeCell ref="C95:G95"/>
    <mergeCell ref="C96:U96"/>
    <mergeCell ref="A97:A98"/>
    <mergeCell ref="B97:B98"/>
    <mergeCell ref="C97:C98"/>
    <mergeCell ref="D97:D98"/>
    <mergeCell ref="E97:E98"/>
    <mergeCell ref="F97:F98"/>
    <mergeCell ref="R97:R98"/>
    <mergeCell ref="U97:U98"/>
    <mergeCell ref="A93:A94"/>
    <mergeCell ref="B93:B94"/>
    <mergeCell ref="C93:C94"/>
    <mergeCell ref="D93:D94"/>
    <mergeCell ref="E93:E94"/>
    <mergeCell ref="F93:F94"/>
    <mergeCell ref="A99:A100"/>
    <mergeCell ref="B99:B100"/>
    <mergeCell ref="C99:C100"/>
    <mergeCell ref="D99:D100"/>
    <mergeCell ref="E99:E100"/>
    <mergeCell ref="F99:F100"/>
    <mergeCell ref="R99:R100"/>
    <mergeCell ref="U99:U100"/>
    <mergeCell ref="R101:R102"/>
    <mergeCell ref="A103:A104"/>
    <mergeCell ref="B103:B104"/>
    <mergeCell ref="C103:C104"/>
    <mergeCell ref="D103:D104"/>
    <mergeCell ref="E103:E104"/>
    <mergeCell ref="F103:F104"/>
    <mergeCell ref="R103:R104"/>
    <mergeCell ref="A101:A102"/>
    <mergeCell ref="B101:B102"/>
    <mergeCell ref="C101:C102"/>
    <mergeCell ref="D101:D102"/>
    <mergeCell ref="E101:E102"/>
    <mergeCell ref="F101:F102"/>
    <mergeCell ref="R105:R106"/>
    <mergeCell ref="A107:A108"/>
    <mergeCell ref="B107:B108"/>
    <mergeCell ref="C107:C108"/>
    <mergeCell ref="D107:D108"/>
    <mergeCell ref="E107:E108"/>
    <mergeCell ref="F107:F108"/>
    <mergeCell ref="R107:R108"/>
    <mergeCell ref="A105:A106"/>
    <mergeCell ref="B105:B106"/>
    <mergeCell ref="C105:C106"/>
    <mergeCell ref="D105:D106"/>
    <mergeCell ref="E105:E106"/>
    <mergeCell ref="F105:F106"/>
    <mergeCell ref="R109:R110"/>
    <mergeCell ref="A111:A112"/>
    <mergeCell ref="B111:B112"/>
    <mergeCell ref="C111:C112"/>
    <mergeCell ref="D111:D112"/>
    <mergeCell ref="E111:E112"/>
    <mergeCell ref="F111:F112"/>
    <mergeCell ref="R111:R112"/>
    <mergeCell ref="A109:A110"/>
    <mergeCell ref="B109:B110"/>
    <mergeCell ref="C109:C110"/>
    <mergeCell ref="D109:D110"/>
    <mergeCell ref="E109:E110"/>
    <mergeCell ref="F109:F110"/>
    <mergeCell ref="C117:C118"/>
    <mergeCell ref="D117:D118"/>
    <mergeCell ref="E117:E118"/>
    <mergeCell ref="F117:F118"/>
    <mergeCell ref="R113:R114"/>
    <mergeCell ref="A115:A116"/>
    <mergeCell ref="B115:B116"/>
    <mergeCell ref="C115:C116"/>
    <mergeCell ref="D115:D116"/>
    <mergeCell ref="E115:E116"/>
    <mergeCell ref="F115:F116"/>
    <mergeCell ref="R115:R116"/>
    <mergeCell ref="A113:A114"/>
    <mergeCell ref="B113:B114"/>
    <mergeCell ref="C113:C114"/>
    <mergeCell ref="D113:D114"/>
    <mergeCell ref="E113:E114"/>
    <mergeCell ref="F113:F114"/>
    <mergeCell ref="C123:G123"/>
    <mergeCell ref="B124:G124"/>
    <mergeCell ref="A125:G125"/>
    <mergeCell ref="B129:T129"/>
    <mergeCell ref="A27:A28"/>
    <mergeCell ref="B27:B28"/>
    <mergeCell ref="U119:U120"/>
    <mergeCell ref="A121:A122"/>
    <mergeCell ref="B121:B122"/>
    <mergeCell ref="C121:C122"/>
    <mergeCell ref="D121:D122"/>
    <mergeCell ref="E121:E122"/>
    <mergeCell ref="F121:F122"/>
    <mergeCell ref="R121:R122"/>
    <mergeCell ref="R117:R118"/>
    <mergeCell ref="A119:A120"/>
    <mergeCell ref="B119:B120"/>
    <mergeCell ref="C119:C120"/>
    <mergeCell ref="D119:D120"/>
    <mergeCell ref="E119:E120"/>
    <mergeCell ref="F119:F120"/>
    <mergeCell ref="R119:R120"/>
    <mergeCell ref="A117:A118"/>
    <mergeCell ref="B117:B118"/>
  </mergeCells>
  <conditionalFormatting sqref="V4:IV4 A4 R8:R10 A6:U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firstPageNumber="24" orientation="landscape" useFirstPageNumber="1" r:id="rId1"/>
  <headerFooter>
    <oddHeader>&amp;C&amp;P</oddHead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2</vt:i4>
      </vt:variant>
    </vt:vector>
  </HeadingPairs>
  <TitlesOfParts>
    <vt:vector size="8" baseType="lpstr">
      <vt:lpstr>1_programa</vt:lpstr>
      <vt:lpstr>2_programa</vt:lpstr>
      <vt:lpstr>3_programa</vt:lpstr>
      <vt:lpstr>4_programa</vt:lpstr>
      <vt:lpstr>5_programa</vt:lpstr>
      <vt:lpstr>6_programa</vt:lpstr>
      <vt:lpstr>'4_programa'!Print_Area</vt:lpstr>
      <vt:lpstr>'5_programa'!Print_Area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Lilija</cp:lastModifiedBy>
  <cp:lastPrinted>2018-06-12T11:42:16Z</cp:lastPrinted>
  <dcterms:created xsi:type="dcterms:W3CDTF">1996-10-14T23:33:28Z</dcterms:created>
  <dcterms:modified xsi:type="dcterms:W3CDTF">2018-06-14T05:16:36Z</dcterms:modified>
</cp:coreProperties>
</file>